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cefacomau.sharepoint.com/sites/SP.CEFA.PROJ/Shared Documents/QLD - LNG project inc downstream/Centurion North - 70 tonne LNG plant/1. Approvals and Regulatory/EA/DETSI Information Request/"/>
    </mc:Choice>
  </mc:AlternateContent>
  <xr:revisionPtr revIDLastSave="0" documentId="8_{C02CDDC0-67C0-447E-AFB1-7D36B01D33ED}" xr6:coauthVersionLast="47" xr6:coauthVersionMax="47" xr10:uidLastSave="{00000000-0000-0000-0000-000000000000}"/>
  <bookViews>
    <workbookView xWindow="-120" yWindow="-120" windowWidth="30960" windowHeight="16800" activeTab="4" xr2:uid="{00000000-000D-0000-FFFF-FFFF00000000}"/>
  </bookViews>
  <sheets>
    <sheet name="Activity Data v1 Jan 2026" sheetId="4" r:id="rId1"/>
    <sheet name="AdditionalDataRequest" sheetId="5" r:id="rId2"/>
    <sheet name="Conversions" sheetId="2" r:id="rId3"/>
    <sheet name="Emission Factors" sheetId="3" r:id="rId4"/>
    <sheet name="GHG Calculations" sheetId="1" r:id="rId5"/>
  </sheets>
  <externalReferences>
    <externalReference r:id="rId6"/>
  </externalReferenc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B23" i="2"/>
  <c r="B17" i="2"/>
  <c r="B4" i="2"/>
  <c r="B13" i="2" s="1"/>
  <c r="B22" i="2"/>
  <c r="I20" i="1"/>
  <c r="F28" i="4"/>
  <c r="H28" i="4" s="1"/>
  <c r="B7" i="2"/>
  <c r="E14" i="1" s="1"/>
  <c r="B6" i="2"/>
  <c r="F41" i="4"/>
  <c r="J41" i="4" s="1"/>
  <c r="F40" i="4"/>
  <c r="J40" i="4" s="1"/>
  <c r="F39" i="4"/>
  <c r="J39" i="4" s="1"/>
  <c r="F38" i="4"/>
  <c r="J38" i="4" s="1"/>
  <c r="F37" i="4"/>
  <c r="J37" i="4" s="1"/>
  <c r="F36" i="4"/>
  <c r="J36" i="4" s="1"/>
  <c r="F35" i="4"/>
  <c r="J35" i="4" s="1"/>
  <c r="F33" i="4"/>
  <c r="H33" i="4" s="1"/>
  <c r="F32" i="4"/>
  <c r="J32" i="4" s="1"/>
  <c r="F31" i="4"/>
  <c r="J31" i="4" s="1"/>
  <c r="F30" i="4"/>
  <c r="J30" i="4" s="1"/>
  <c r="F29" i="4"/>
  <c r="J29" i="4" s="1"/>
  <c r="F26" i="4"/>
  <c r="H26" i="4" s="1"/>
  <c r="B25" i="4"/>
  <c r="F25" i="4" s="1"/>
  <c r="H25" i="4" s="1"/>
  <c r="F24" i="4"/>
  <c r="H24" i="4" s="1"/>
  <c r="F22" i="4"/>
  <c r="J22" i="4" s="1"/>
  <c r="F21" i="4"/>
  <c r="J21" i="4" s="1"/>
  <c r="F19" i="4"/>
  <c r="J19" i="4" s="1"/>
  <c r="F18" i="4"/>
  <c r="J18" i="4" s="1"/>
  <c r="F17" i="4"/>
  <c r="J17" i="4" s="1"/>
  <c r="F16" i="4"/>
  <c r="J16" i="4" s="1"/>
  <c r="F15" i="4"/>
  <c r="J15" i="4" s="1"/>
  <c r="F14" i="4"/>
  <c r="J14" i="4" s="1"/>
  <c r="F12" i="4"/>
  <c r="J12" i="4" s="1"/>
  <c r="F11" i="4"/>
  <c r="J11" i="4" s="1"/>
  <c r="F10" i="4"/>
  <c r="J10" i="4" s="1"/>
  <c r="F9" i="4"/>
  <c r="J9" i="4" s="1"/>
  <c r="F8" i="4"/>
  <c r="J8" i="4" s="1"/>
  <c r="F7" i="4"/>
  <c r="J7" i="4" s="1"/>
  <c r="J5" i="4"/>
  <c r="J4" i="4"/>
  <c r="J3" i="4"/>
  <c r="E20" i="1"/>
  <c r="E13" i="1" l="1"/>
  <c r="H35" i="4"/>
  <c r="J42" i="4"/>
  <c r="H30" i="4"/>
  <c r="H31" i="4"/>
  <c r="I32" i="4"/>
  <c r="I42" i="4" s="1"/>
  <c r="H21" i="4"/>
  <c r="H22" i="4"/>
  <c r="H42" i="4" l="1"/>
  <c r="I14" i="1"/>
  <c r="G14" i="1"/>
  <c r="G13" i="1"/>
  <c r="G20" i="1"/>
  <c r="B9" i="3"/>
  <c r="G18" i="1"/>
  <c r="M14" i="1" l="1"/>
  <c r="I13" i="1"/>
  <c r="M13" i="1" s="1"/>
  <c r="I18" i="1"/>
  <c r="I40" i="1"/>
  <c r="G40" i="1"/>
  <c r="E40" i="1"/>
  <c r="K39" i="1"/>
  <c r="I39" i="1"/>
  <c r="G39" i="1"/>
  <c r="E39" i="1"/>
  <c r="K38" i="1"/>
  <c r="I38" i="1"/>
  <c r="K37" i="1"/>
  <c r="I37" i="1"/>
  <c r="I36" i="1"/>
  <c r="G36" i="1"/>
  <c r="I35" i="1"/>
  <c r="M35" i="1" s="1"/>
  <c r="I34" i="1"/>
  <c r="G34" i="1"/>
  <c r="I33" i="1"/>
  <c r="K32" i="1"/>
  <c r="I32" i="1"/>
  <c r="K31" i="1"/>
  <c r="I31" i="1"/>
  <c r="G31" i="1"/>
  <c r="E31" i="1"/>
  <c r="I30" i="1"/>
  <c r="G30" i="1"/>
  <c r="E30" i="1"/>
  <c r="G29" i="1"/>
  <c r="G28" i="1"/>
  <c r="E28" i="1"/>
  <c r="G27" i="1"/>
  <c r="E27" i="1"/>
  <c r="G26" i="1"/>
  <c r="E26" i="1"/>
  <c r="G25" i="1"/>
  <c r="E29" i="1"/>
  <c r="G12" i="1"/>
  <c r="E12" i="1"/>
  <c r="I21" i="1"/>
  <c r="G21" i="1"/>
  <c r="E21" i="1"/>
  <c r="I22" i="1"/>
  <c r="G22" i="1"/>
  <c r="E22" i="1"/>
  <c r="M20" i="1"/>
  <c r="I19" i="1"/>
  <c r="G19" i="1"/>
  <c r="E19" i="1"/>
  <c r="E18" i="1"/>
  <c r="G15" i="1"/>
  <c r="E15" i="1"/>
  <c r="I16" i="1"/>
  <c r="G16" i="1"/>
  <c r="E16" i="1"/>
  <c r="I17" i="1"/>
  <c r="E17" i="1"/>
  <c r="M40" i="1" l="1"/>
  <c r="M21" i="1"/>
  <c r="M12" i="1"/>
  <c r="C5" i="1" s="1"/>
  <c r="M15" i="1"/>
  <c r="M29" i="1"/>
  <c r="M25" i="1"/>
  <c r="C6" i="1" s="1"/>
  <c r="M34" i="1"/>
  <c r="M38" i="1"/>
  <c r="M32" i="1"/>
  <c r="M37" i="1"/>
  <c r="M33" i="1"/>
  <c r="M16" i="1"/>
  <c r="M31" i="1"/>
  <c r="M36" i="1"/>
  <c r="M28" i="1"/>
  <c r="M39" i="1"/>
  <c r="M30" i="1"/>
  <c r="M17" i="1"/>
  <c r="M26" i="1"/>
  <c r="M18" i="1"/>
  <c r="M22" i="1"/>
  <c r="M27" i="1"/>
  <c r="M19" i="1"/>
  <c r="C7" i="1" l="1"/>
  <c r="C4" i="1"/>
  <c r="C8" i="1" l="1"/>
  <c r="C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ChatGPT</author>
  </authors>
  <commentList>
    <comment ref="A1" authorId="0" shapeId="0" xr:uid="{00000000-0006-0000-0000-000001000000}">
      <text>
        <r>
          <rPr>
            <sz val="11"/>
            <color theme="1"/>
            <rFont val="Calibri"/>
            <family val="2"/>
            <scheme val="minor"/>
          </rPr>
          <t>Workbook prepared using uploaded CEFA/DETSI documents and official NGA/GHG Protocol sources. No unsupported interpolated values have been used.</t>
        </r>
      </text>
    </comment>
  </commentList>
</comments>
</file>

<file path=xl/sharedStrings.xml><?xml version="1.0" encoding="utf-8"?>
<sst xmlns="http://schemas.openxmlformats.org/spreadsheetml/2006/main" count="853" uniqueCount="559">
  <si>
    <t>Summary item</t>
  </si>
  <si>
    <t>Total (tCO2-e)</t>
  </si>
  <si>
    <t>Notes</t>
  </si>
  <si>
    <t>Scope 1 operational</t>
  </si>
  <si>
    <t>Recurring operational emissions only.</t>
  </si>
  <si>
    <t>Scope 1 commissioning</t>
  </si>
  <si>
    <t>One-off commissioning emissions, shown separately.</t>
  </si>
  <si>
    <t>Scope 2</t>
  </si>
  <si>
    <t>Scope 3</t>
  </si>
  <si>
    <t>Total excluding commissioning</t>
  </si>
  <si>
    <t>Total including commissioning</t>
  </si>
  <si>
    <t>Scope</t>
  </si>
  <si>
    <t>GHG Protocol category / source type</t>
  </si>
  <si>
    <t>Phase</t>
  </si>
  <si>
    <t>Activity accounted for</t>
  </si>
  <si>
    <t>Activity / input 1</t>
  </si>
  <si>
    <t>Unit 1</t>
  </si>
  <si>
    <t>Activity / input 2</t>
  </si>
  <si>
    <t>Unit 2</t>
  </si>
  <si>
    <t>Activity / input 3</t>
  </si>
  <si>
    <t>Unit 3</t>
  </si>
  <si>
    <t>Activity / input 4</t>
  </si>
  <si>
    <t>Unit 4</t>
  </si>
  <si>
    <t>Emissions (tCO2-e)</t>
  </si>
  <si>
    <t>Scope 1</t>
  </si>
  <si>
    <t>Operational</t>
  </si>
  <si>
    <t>Operational maintenance venting allowance</t>
  </si>
  <si>
    <t>t CH4/year</t>
  </si>
  <si>
    <t>tCO2-e/t CH4</t>
  </si>
  <si>
    <t>Yes</t>
  </si>
  <si>
    <t>Inlet compressor CH4 stream</t>
  </si>
  <si>
    <t>t CH4/day</t>
  </si>
  <si>
    <t>days/year</t>
  </si>
  <si>
    <t>Process CO2 venting</t>
  </si>
  <si>
    <t>Amine still CO2 vent</t>
  </si>
  <si>
    <t>t CO2/day</t>
  </si>
  <si>
    <t>Flaring</t>
  </si>
  <si>
    <t>t flare gas/year</t>
  </si>
  <si>
    <t>combusted CH4 fraction</t>
  </si>
  <si>
    <t>t CO2/t CH4</t>
  </si>
  <si>
    <t>GJ/year</t>
  </si>
  <si>
    <t>kgCO2-e/GJ</t>
  </si>
  <si>
    <t>kg/t</t>
  </si>
  <si>
    <t>Diesel black-start generation</t>
  </si>
  <si>
    <t>hours/year</t>
  </si>
  <si>
    <t>L/h</t>
  </si>
  <si>
    <t>kgCO2-e/L</t>
  </si>
  <si>
    <t>Mobile combustion</t>
  </si>
  <si>
    <t>Site vehicles</t>
  </si>
  <si>
    <t>kL diesel/year</t>
  </si>
  <si>
    <t>GJ/kL</t>
  </si>
  <si>
    <t>BOG</t>
  </si>
  <si>
    <t>Boil-off gas (BOG) losses</t>
  </si>
  <si>
    <t>N/A</t>
  </si>
  <si>
    <t>LNG loading/storage handling</t>
  </si>
  <si>
    <t>Commissioning venting</t>
  </si>
  <si>
    <t>Commissioning</t>
  </si>
  <si>
    <t>t CH4</t>
  </si>
  <si>
    <t>Commissioning flaring</t>
  </si>
  <si>
    <t>GJ</t>
  </si>
  <si>
    <t>Purchased electricity</t>
  </si>
  <si>
    <t>MWh/year</t>
  </si>
  <si>
    <t>tCO2-e/MWh</t>
  </si>
  <si>
    <t>Construction</t>
  </si>
  <si>
    <t>Concrete foundations</t>
  </si>
  <si>
    <t>m3</t>
  </si>
  <si>
    <t>tCO2-e/m3</t>
  </si>
  <si>
    <t>t steel</t>
  </si>
  <si>
    <t>tCO2-e/t steel</t>
  </si>
  <si>
    <t>Upstream diesel for site vehicles</t>
  </si>
  <si>
    <t>kL/year</t>
  </si>
  <si>
    <t>Upstream diesel for black-start generator</t>
  </si>
  <si>
    <t>kL/h</t>
  </si>
  <si>
    <t>tCO2-e/GJ</t>
  </si>
  <si>
    <t>trucks</t>
  </si>
  <si>
    <t>km</t>
  </si>
  <si>
    <t>L/km</t>
  </si>
  <si>
    <t>tCO2-e/kL</t>
  </si>
  <si>
    <t>t</t>
  </si>
  <si>
    <t>kgCO2-e/t.km</t>
  </si>
  <si>
    <t>L/km convoy</t>
  </si>
  <si>
    <t>trailers</t>
  </si>
  <si>
    <t>Consumables/spares deliveries</t>
  </si>
  <si>
    <t>trucks/day</t>
  </si>
  <si>
    <t>km return</t>
  </si>
  <si>
    <t>tCO2-e/truck-km</t>
  </si>
  <si>
    <t>Downstream LNG road transport to customers</t>
  </si>
  <si>
    <t>km/truck</t>
  </si>
  <si>
    <t>End-use combustion of LNG sold</t>
  </si>
  <si>
    <t>t LNG/year</t>
  </si>
  <si>
    <t>GJ/t LNG</t>
  </si>
  <si>
    <t>Boundary, data-quality and unresolved items</t>
  </si>
  <si>
    <t>Only values directly traceable to uploaded documents, client comments, or official GHG/NGA sources are used.</t>
  </si>
  <si>
    <t>Scope 3 Category 11 uses 50.4 GJ/t LNG from AdditionalDataRequest. The Unit Conversions sheet contains 54.4 GJ/t and is included as a QA check but not used in the primary calculation.</t>
  </si>
  <si>
    <t>Parameter / conversion</t>
  </si>
  <si>
    <t>Value</t>
  </si>
  <si>
    <t>Units</t>
  </si>
  <si>
    <t>Use in workbook</t>
  </si>
  <si>
    <t>URL or attached file reference</t>
  </si>
  <si>
    <t>Production and power generation operating days</t>
  </si>
  <si>
    <t>Maintenance and trip days directed to flare</t>
  </si>
  <si>
    <t>Operational flare emissions</t>
  </si>
  <si>
    <t>Hours per day</t>
  </si>
  <si>
    <t>hours/day</t>
  </si>
  <si>
    <t>Operating hours calculation</t>
  </si>
  <si>
    <t>24 hours per day</t>
  </si>
  <si>
    <t>Operational upset flare flow rate</t>
  </si>
  <si>
    <t>t gas/day</t>
  </si>
  <si>
    <t>Methane concentration in gas</t>
  </si>
  <si>
    <t>fraction</t>
  </si>
  <si>
    <t>Flaring and venting gas composition</t>
  </si>
  <si>
    <t>Flare destruction / combustion efficiency</t>
  </si>
  <si>
    <t>Operational flare split into combusted CH4 and CH4 slip</t>
  </si>
  <si>
    <t>Scope 1 operational process venting</t>
  </si>
  <si>
    <t>Scope 1 fugitive/process methane stream</t>
  </si>
  <si>
    <t>Table 1, INLET COMPRESSOR - JGK, waste stream composition CH4, rate 0.11 tpd</t>
  </si>
  <si>
    <t>Scope 1 process CO2 vent</t>
  </si>
  <si>
    <t>Table 1, AMINE STILL COLUMN, waste stream 1% CO2 in gas supply, rate 0.7 tpd</t>
  </si>
  <si>
    <t>Gas-fired generation fuel use</t>
  </si>
  <si>
    <t>Scope 1 onsite gas-fired generation and Scope 3 upstream fuel</t>
  </si>
  <si>
    <t>Site vehicle diesel</t>
  </si>
  <si>
    <t>Scope 1 site vehicles and Scope 3 upstream diesel</t>
  </si>
  <si>
    <t>Continuous grid electricity demand</t>
  </si>
  <si>
    <t>MW</t>
  </si>
  <si>
    <t>Scope 2 grid electricity</t>
  </si>
  <si>
    <t>Diesel black-start generator load</t>
  </si>
  <si>
    <t>kW</t>
  </si>
  <si>
    <t>Diesel black-start calculation</t>
  </si>
  <si>
    <t>User-provided context: diesel generation only required for black starts at 300 kW</t>
  </si>
  <si>
    <t>Black-start duration</t>
  </si>
  <si>
    <t>minutes/event</t>
  </si>
  <si>
    <t>User-provided context: 10 minutes per black start</t>
  </si>
  <si>
    <t>Black-start events</t>
  </si>
  <si>
    <t>events/year</t>
  </si>
  <si>
    <t>User-provided context: 12 times pa</t>
  </si>
  <si>
    <t>Diesel energy content</t>
  </si>
  <si>
    <t>Diesel litres/kL to GJ conversion</t>
  </si>
  <si>
    <t>https://www.dcceew.gov.au/sites/default/files/documents/national-greenhouse-account-factors-2025.pdf</t>
  </si>
  <si>
    <t>LNG production rate</t>
  </si>
  <si>
    <t>t LNG/day</t>
  </si>
  <si>
    <t>Scope 3 use of sold products</t>
  </si>
  <si>
    <t>LNG energy content selected for DETSI calculation</t>
  </si>
  <si>
    <t>Alternative LNG energy content in Unit Conversions sheet</t>
  </si>
  <si>
    <t>QA check only</t>
  </si>
  <si>
    <t>Unit Conversions sheet: LNG Energy Content 54.4 GJ/t</t>
  </si>
  <si>
    <t>Downstream LNG transport trucks</t>
  </si>
  <si>
    <t>Scope 3 Category 9 downstream transport</t>
  </si>
  <si>
    <t>Downstream truck round trip distance</t>
  </si>
  <si>
    <t>Heavy truck fuel consumption</t>
  </si>
  <si>
    <t>Scope 3 Category 9 and Category 4 road freight</t>
  </si>
  <si>
    <t>Light vehicle fuel consumption</t>
  </si>
  <si>
    <t>Construction freight escort vehicle calculations</t>
  </si>
  <si>
    <t>Small generator diesel consumption</t>
  </si>
  <si>
    <t>Construction small generator calculations</t>
  </si>
  <si>
    <t>Excavator / loader diesel consumption</t>
  </si>
  <si>
    <t>Construction equipment calculations</t>
  </si>
  <si>
    <t>Crane 150t diesel consumption</t>
  </si>
  <si>
    <t>Scope 3 Category 2 construction materials</t>
  </si>
  <si>
    <t>Steel in LNG storage tanks</t>
  </si>
  <si>
    <t>Steel in compressor skid and pipework</t>
  </si>
  <si>
    <t>Scope 1 commissioning venting</t>
  </si>
  <si>
    <t>Commissioning flare gas energy</t>
  </si>
  <si>
    <t>Scope 1 commissioning flare</t>
  </si>
  <si>
    <t>Emission factor / parameter</t>
  </si>
  <si>
    <t>Methane GWP</t>
  </si>
  <si>
    <t>Vented methane and uncombusted methane slip</t>
  </si>
  <si>
    <t>Natural gas combustion</t>
  </si>
  <si>
    <t>kg CO2-e/GJ</t>
  </si>
  <si>
    <t>Gas-fired generation, commissioning flare, LNG combustion</t>
  </si>
  <si>
    <t>Natural gas upstream</t>
  </si>
  <si>
    <t>Scope 3 upstream natural gas fuel cycle</t>
  </si>
  <si>
    <t>Queensland grid electricity Scope 2</t>
  </si>
  <si>
    <t>Scope 2 purchased electricity</t>
  </si>
  <si>
    <t>Queensland grid electricity Scope 3</t>
  </si>
  <si>
    <t>kg CO2-e/kWh</t>
  </si>
  <si>
    <t>Scope 3 upstream electricity</t>
  </si>
  <si>
    <t>Diesel combustion</t>
  </si>
  <si>
    <t>Diesel vehicles, construction equipment and diesel black-start generator</t>
  </si>
  <si>
    <t>Diesel upstream</t>
  </si>
  <si>
    <t>Scope 3 upstream diesel fuel cycle</t>
  </si>
  <si>
    <t>kg CO2-e/t.km</t>
  </si>
  <si>
    <t>Scope 3 upstream transport by sea</t>
  </si>
  <si>
    <t>Domestic passenger flight</t>
  </si>
  <si>
    <t>kg CO2-e/p.km</t>
  </si>
  <si>
    <t>Scope 3 construction travel where included in workbook</t>
  </si>
  <si>
    <t>Concrete embodied emissions</t>
  </si>
  <si>
    <t>Steel embodied emissions</t>
  </si>
  <si>
    <t>tCO2-e/tonne</t>
  </si>
  <si>
    <t>KTA50-G3 fuel consumption at 25% load</t>
  </si>
  <si>
    <t>Diesel black-start lower-bound check only</t>
  </si>
  <si>
    <t>KTA50-G3 fuel consumption at 50% load</t>
  </si>
  <si>
    <t>Diesel black-start conservative calculation</t>
  </si>
  <si>
    <t>CH4 to CO2 stoichiometric conversion</t>
  </si>
  <si>
    <t>Flare combusted methane to CO2</t>
  </si>
  <si>
    <t>Standard stoichiometric conversion</t>
  </si>
  <si>
    <t>LNG loading/ storage losses</t>
  </si>
  <si>
    <t>Operational flare - CO2 from combusted methane</t>
  </si>
  <si>
    <t>Operational flare - uncombusted CH4 slip</t>
  </si>
  <si>
    <t>Road freight - 12 x 40 ft modules on double trailers</t>
  </si>
  <si>
    <t>Sea freight - 2 x 365 kL tanks from China to Mackay</t>
  </si>
  <si>
    <t>Sea freight - compressor Canada to Mackay</t>
  </si>
  <si>
    <t>Road freight - tanks to site with escorts</t>
  </si>
  <si>
    <t>Road freight - compressor Mackay to site with escorts</t>
  </si>
  <si>
    <t>Road freight - other equipment containers Brisbane to site</t>
  </si>
  <si>
    <t>INLET COMPRESSOR - JGK; NGA Factors 2025 methane GWP</t>
  </si>
  <si>
    <t>AMINE STILL COLUMN. Annualised over 360 operating days.</t>
  </si>
  <si>
    <t>MWh/day</t>
  </si>
  <si>
    <t>MTU datasheet</t>
  </si>
  <si>
    <t>kW fuel input</t>
  </si>
  <si>
    <t>1.2MW (one engine), 24 hrs/day, 360 days/year</t>
  </si>
  <si>
    <t>Source</t>
  </si>
  <si>
    <t>1kWh</t>
  </si>
  <si>
    <t>Updated estimations, 70 t/day × 5 days, 95% CH4, 98% destruction efficiency</t>
  </si>
  <si>
    <t>Updated estimations, methane slip from 98% destruction efficiency</t>
  </si>
  <si>
    <t>All BOG returned to inlet of plant including excess BOG from customer sites.</t>
  </si>
  <si>
    <t>Dry-break couplings used; any LNG in pipework returns to tank or BOG system.</t>
  </si>
  <si>
    <t>Comments</t>
  </si>
  <si>
    <t>Category 2 - Capital goods</t>
  </si>
  <si>
    <t>Category 3 - Fuel- and energy-related activities</t>
  </si>
  <si>
    <t>Category 4 - Upstream transportation and distribution</t>
  </si>
  <si>
    <t>Category 9 - Downstream transportation and distribution</t>
  </si>
  <si>
    <t>Category 11 - Use of sold products</t>
  </si>
  <si>
    <t>kCO2-e/kWh</t>
  </si>
  <si>
    <t>Clarke Energy PWR Hybrid.pdf KTA50 50% load fuel consumption; NGA Factors 2025; GHG Protocol Category 3</t>
  </si>
  <si>
    <t>Gas-fired electricity generation</t>
  </si>
  <si>
    <t>III.b: operational upset allowance assumes 70 tpd maximum design flare flow</t>
  </si>
  <si>
    <t>III.a: 95% methane, 5% nitrogen</t>
  </si>
  <si>
    <t>III.b: 98% combustion efficiency</t>
  </si>
  <si>
    <t>Continuous operational demand assumed at 1.8 MW, 360 days pa</t>
  </si>
  <si>
    <t xml:space="preserve"> 2 x 2MW gas generators ( MTU 16V4000) 1MW (one engine), 24 hrs/day, 360 days/year</t>
  </si>
  <si>
    <t>Onsite gas-fired electricity generation (1MW)</t>
  </si>
  <si>
    <t>Grid electricity (1.8MW)</t>
  </si>
  <si>
    <t>Updated estimations: 1MW, natural gas combustion factor from NGA Factors 2025</t>
  </si>
  <si>
    <t>Updated Emissions: 1.8MW continous, 360 days;  Queensland factor 0.67 tCO2-e/MWh</t>
  </si>
  <si>
    <t xml:space="preserve">CEFA QLD LNG Project </t>
  </si>
  <si>
    <t>Shipping - general cargo / tanker average</t>
  </si>
  <si>
    <t>Commissioning methane (CH4) venting</t>
  </si>
  <si>
    <t>Revised using 1.8MW × 24 hr/day × 360 days. QLD grid</t>
  </si>
  <si>
    <t>LNG storage tanks - embodied steel</t>
  </si>
  <si>
    <t>Compressor skid and pipework - embodied steel</t>
  </si>
  <si>
    <t>Includes calculable categories only (i.e., 2, 3, 4, 9 &amp; 11)</t>
  </si>
  <si>
    <t>Operational Scope 1 + Scope 2 + Scope 3</t>
  </si>
  <si>
    <t>Operational total plus one-off commissioning emissions</t>
  </si>
  <si>
    <t>Operating assumption changed to 360 days pa</t>
  </si>
  <si>
    <t>5 days pa for maintenance and trips would direct all gas to flare</t>
  </si>
  <si>
    <t>Activity Description</t>
  </si>
  <si>
    <t>Qty</t>
  </si>
  <si>
    <t>Daily hours</t>
  </si>
  <si>
    <t>Daily km</t>
  </si>
  <si>
    <t>Days on site</t>
  </si>
  <si>
    <t>Fuel
/Energy 
/ Materials</t>
  </si>
  <si>
    <t>Unit</t>
  </si>
  <si>
    <t>Scope 1
(t CO2-e)</t>
  </si>
  <si>
    <t>Scope 2
(t CO2-e)</t>
  </si>
  <si>
    <t>Scope 3
(t CO2-e)</t>
  </si>
  <si>
    <t>Assumptions</t>
  </si>
  <si>
    <t>Construction Materials</t>
  </si>
  <si>
    <t>Operated by a Subcontractor</t>
  </si>
  <si>
    <t>Concrete 260 m3</t>
  </si>
  <si>
    <t>260 m3 of 40MPa structural concrete. Factor: 0.35 tCO2-e/m3 (Source: ISCA Materials Calculator v2 / Green Star).</t>
  </si>
  <si>
    <t>2 Steel Tanks, 120 t</t>
  </si>
  <si>
    <t>2x 120t LNG Storage Tanks (240t total). Factor: 2.0 tCO2-e/t (Source: WorldSteel Association Global Average for Plate Steel).</t>
  </si>
  <si>
    <t>Compressor (60t), Pipework (60t)</t>
  </si>
  <si>
    <t>60t Compressor Skid + 60t Stainless Pipework (120t total). Factor: 2.0 tCO2-e/t (Source: Engineering Estimate based on steel weight).</t>
  </si>
  <si>
    <t>Construction Equipment</t>
  </si>
  <si>
    <t>Detailed earthworks</t>
  </si>
  <si>
    <t>kL</t>
  </si>
  <si>
    <t>Diesel. 1x 20t Excavator (e.g. CAT 320D). Medium Load Factor (15 L/hr) per CAT Performance Handbook Ed 49. Duration: 14 days @ 8hrs/day.</t>
  </si>
  <si>
    <t>Civils – mini excavator</t>
  </si>
  <si>
    <t>Diesel.  1x 5t Mini Excavator. Conservative estimate 15 L/hr (High Load). Duration: 14 days @ 4hrs/day.</t>
  </si>
  <si>
    <t>150 tonne crane - 4 visits. Drive from Moranbah to site. On site 6 hours then de-mob</t>
  </si>
  <si>
    <t>Diesel. Liebherr LTM 1150-6.1. Operation: 30 L/hr (Heavy Lift). Mobilisation: 130km return @ 0.6 L/km (Source: Liebherr Technical Data). 4 visits.</t>
  </si>
  <si>
    <t>Franna</t>
  </si>
  <si>
    <t>Diesel. 25t Franna (Terex). Operation: 15 L/hr (Pick &amp; Carry). Mobilisation: 130km return @ 0.6 L/km. 10 days.</t>
  </si>
  <si>
    <t>Vehicles (Light) - to and from Moranbah</t>
  </si>
  <si>
    <t>Diesel. 3x Toyota Landcruiser 70 Series. Fuel cons: 12L/100km (Source: Green Vehicle Guide). Daily commute Moranbah-Site (130km). Scope 1 (Company Fleet).</t>
  </si>
  <si>
    <t>Telehandler</t>
  </si>
  <si>
    <t>Diesel. Manitou MT-X. Loading duty cycle: 3 hrs/day @ 15 L/hr (Source: OEM Spec).</t>
  </si>
  <si>
    <t>Transport of Modules</t>
  </si>
  <si>
    <t>12 x 40' modules on double trailers (6 x trucks)</t>
  </si>
  <si>
    <t>Diesel. 6x Prime Movers (B-Double equivalent). Payload: 2 modules/truck. Distance: 1000km (Brisbane-Site). Fuel: 0.6 L/km (Source: GreenTruck / AusRoads).</t>
  </si>
  <si>
    <t>Seafreight of 2 x 365kl tanks from China to Makay</t>
  </si>
  <si>
    <t>t.km</t>
  </si>
  <si>
    <t>HFO. 2x 120t Tanks (240t). Route: Nantong (China) to Mackay. Distance: 8300km. Factor: 0.015 kgCO2/t.km (Source: DEFRA/IMO for General Cargo).</t>
  </si>
  <si>
    <t>Road freight tanks to site - 2 x semi's + 8 x escort vehicles</t>
  </si>
  <si>
    <t>Diesel. Convoy for Over-Dimensional Load. 2x Prime Movers (Pull/Push) @ 0.6 L/km + 8x Escort Vehicles @ 0.12 L/km. Distance: 260km.</t>
  </si>
  <si>
    <t>Seafreight compressor Canada to Makay</t>
  </si>
  <si>
    <t>HFO. 30t Compressor Skid. Route: Vancouver (Canada) to Mackay. Distance: 12,000km. Factor: 0.015 kgCO2/t.km.</t>
  </si>
  <si>
    <t>Road freight compressor Makay to site (1 x semi, 4 x escorts)</t>
  </si>
  <si>
    <t>Diesel. Convoy. 1x Prime Mover @ 0.6 L/km + 4x Escorts @ 0.12 L/km. Distance: 260km.</t>
  </si>
  <si>
    <t>Other equipment 6 x 40' containers Brisbane to site.</t>
  </si>
  <si>
    <t>Diesel. 6x Semi-Trailers (General Freight). Distance: 1200km (Brisbane/Gladstone supply base). Fuel: 0.6 L/km.</t>
  </si>
  <si>
    <t>Site Construction Generation</t>
  </si>
  <si>
    <t>Operated by CEFA</t>
  </si>
  <si>
    <t>22 kVa generator for office &amp; ablutions</t>
  </si>
  <si>
    <t>Diesel. 22kVa Diesel Generator. Load: 50% (approx 10kW). Burn Rate: 10 L/hr. Operation: 12 hrs/day (Office/Ablutions). Scope 1.</t>
  </si>
  <si>
    <t>11 kVa generator for Site power tools</t>
  </si>
  <si>
    <t>Diesel. 11kVa Portable Generator. Load: Variable. Burn Rate: 10 L/hr (conservative). Operation: 4 hrs/day (Power tools). Scope 1.</t>
  </si>
  <si>
    <t xml:space="preserve">Commissioning Gas Venting (CH4) - 365m3 x 2 tanks x 4 cycles to 100 kPa = 2 tonnes </t>
  </si>
  <si>
    <t>Source: Natural Gas. Direct Venting. Volume: 2 tonnes CH4. GWP: 28 (IPCC AR5). Source: Engineering Commissioning Plan.</t>
  </si>
  <si>
    <t>Other purging 200kg</t>
  </si>
  <si>
    <t>Source: Natural Gas. Minor purging allowance. Est: 200kg CH4. GWP: 28.</t>
  </si>
  <si>
    <t>Flare (Comm)</t>
  </si>
  <si>
    <t>Natural Gas. Commissioning Flaring. 4 events x 4 hours. Flow: 20 tpd. Combustion Efficiency: 98% (Assumed 100% for CO2 calc).</t>
  </si>
  <si>
    <t>Operations</t>
  </si>
  <si>
    <t>Operated by CEFA Scope 1, 2, 3</t>
  </si>
  <si>
    <t>Flaring /upsets (pa) at 70 tpd flow rate</t>
  </si>
  <si>
    <t>Natural Gas. Operational Upset Allowance. 2 events/yr x 8 hrs. Flow: 70 tpd (Max design flow). Scope 1.</t>
  </si>
  <si>
    <t>Deliveries (upstream transport)</t>
  </si>
  <si>
    <t>Diesel. Consumables/Spares delivery. 2x Trucks/day. Route: Mackay-Site return (900km). Scope 3 (Cat 4).</t>
  </si>
  <si>
    <t>Rolleston Power generation: 100kVa gas set.</t>
  </si>
  <si>
    <t>Natural Gas. 100kVa Gas Generator. Load: 80kW. Thermal Eff: 30%. Fuel: Natural Gas. Scope 1.</t>
  </si>
  <si>
    <t>Diesel. 3x Toyota Landcruisers. Daily site inspection + commute (130km). Scope 1.</t>
  </si>
  <si>
    <t>Site power requirements - 2.8MW x 24 x 365 = 24,528 MWHr pa</t>
  </si>
  <si>
    <t>MWh</t>
  </si>
  <si>
    <t>Grid Import. Load: 2.8MW Continuous. annual: 24,528 MWh. Factors: NGA 2025 QLD Grid (Scope 2+3).</t>
  </si>
  <si>
    <t>Venting (upsets, maintenance etc)</t>
  </si>
  <si>
    <t>Natural Gas. Operational Maintenance Venting. Est: 100kg/week = 5.2 tpa. GWP: 28. Scope 1.</t>
  </si>
  <si>
    <t>Decommissioning</t>
  </si>
  <si>
    <t>Scope 3 (Contractor)</t>
  </si>
  <si>
    <t>Site Generation (22 kVa)</t>
  </si>
  <si>
    <t>Diesel. 22kVa Generator. Decommissioning phase power. 10 L/hr. Scope 1 (CEFA operated).</t>
  </si>
  <si>
    <t>Civils – Loader</t>
  </si>
  <si>
    <t>Diesel. 1x Front End Loader. Site rehab works. 15 L/hr. Scope 3.</t>
  </si>
  <si>
    <t>Diesel. 150t Crane. Module removal. 30 L/hr + Mob. Scope 3.</t>
  </si>
  <si>
    <t>Diesel. 25t Franna. Light lifting. 15 L/hr. Scope 3.</t>
  </si>
  <si>
    <t>Vehicles -  to and from Moranbah</t>
  </si>
  <si>
    <t>Diesel</t>
  </si>
  <si>
    <t>Diesel. Waste loading. 15 L/hr. Scope 3.</t>
  </si>
  <si>
    <t>Transport to Brisbane?? Double A train semi's</t>
  </si>
  <si>
    <t>Diesel. Return freight of modules. 12x Trucks x 1200km. Scope 3.</t>
  </si>
  <si>
    <t>TOTAL</t>
  </si>
  <si>
    <t>Initial estimations, commissioning calculation 365 m3 × 2 tanks × 4 cycles</t>
  </si>
  <si>
    <t>Diesel black-start generator - conservative 50% load fuel rate</t>
  </si>
  <si>
    <t>365m3 × 2 tanks × 4 cycles to 100 kPa</t>
  </si>
  <si>
    <t>Annualisation of production, grid electricity &amp; operating plant emissions</t>
  </si>
  <si>
    <t xml:space="preserve"> kg/m3</t>
  </si>
  <si>
    <t>Methane density at 1atm (101.325kPa aprox) at 0C</t>
  </si>
  <si>
    <t>Upstream electricity from grid electricity (1.8MW)</t>
  </si>
  <si>
    <t>t CH₄/year</t>
  </si>
  <si>
    <t>4 events × 4 hours × 20 tpd basis</t>
  </si>
  <si>
    <t>CO2 from combusted methane</t>
  </si>
  <si>
    <t>Uncombusted CH4 slip</t>
  </si>
  <si>
    <t>CH4 venting</t>
  </si>
  <si>
    <t>Inlet compressor  CH4 stream</t>
  </si>
  <si>
    <t>uncombusted  CH4 fraction</t>
  </si>
  <si>
    <t>Initial estimations, recalculated: 4 events, 4 hours/event, 20 tpd, 95% CH4 , 98% combustion efficiency</t>
  </si>
  <si>
    <t>Initial estimations, recalculated:  CH4 slip from 2% uncombusted</t>
  </si>
  <si>
    <t>Process venting / Maintenance</t>
  </si>
  <si>
    <t>Fugitive/process CH4 stream</t>
  </si>
  <si>
    <t>1MW (one engine), 24 hrs/day, 360 days/year</t>
  </si>
  <si>
    <t>MTU datasheet =, extrapolations for 1000kW (1MW)</t>
  </si>
  <si>
    <t>Weeks in 360 days</t>
  </si>
  <si>
    <t>weeks/360 days</t>
  </si>
  <si>
    <t>51.43 weeks in 360 days</t>
  </si>
  <si>
    <t xml:space="preserve"> III.a: 100 kg CH4/week = 5.14 t CH4/year</t>
  </si>
  <si>
    <t>Initial estimations, recalculated for 360 days</t>
  </si>
  <si>
    <t>https://www.engineeringtoolbox.com/methane-density-specific-weight-temperature-pressure-d_2020.html?utm_s</t>
  </si>
  <si>
    <t>https://www.iea.org/data-and-statistics/data-tools/unit-converter?utm</t>
  </si>
  <si>
    <t>Scope 1 operational flare emissions</t>
  </si>
  <si>
    <t>3x Toyota Landcruisers. Daily site inspection + commute (130km)</t>
  </si>
  <si>
    <t>Excavator / Loader</t>
  </si>
  <si>
    <t>Crane (150t)</t>
  </si>
  <si>
    <t>Generator (Small)</t>
  </si>
  <si>
    <t>Heavy Truck (Semi)</t>
  </si>
  <si>
    <t>Light Vehicle (Escort/Ute)</t>
  </si>
  <si>
    <t>LNG Energy</t>
  </si>
  <si>
    <t>L/hr</t>
  </si>
  <si>
    <t>Energy Content of LNG</t>
  </si>
  <si>
    <t>CAT Performance Handbook (Medium Load)</t>
  </si>
  <si>
    <t>Liebherr Technical Data (Heavy Lift)</t>
  </si>
  <si>
    <t>50% Load Factor on 22kVa set</t>
  </si>
  <si>
    <t>Prime Mover (B-Double equivalent)</t>
  </si>
  <si>
    <t>4WD Diesel Utility</t>
  </si>
  <si>
    <t>GJ / tonne</t>
  </si>
  <si>
    <t>Scope 3 downstream LNG use: 70 tonnes per day, 360 days pa</t>
  </si>
  <si>
    <t>VII: LNG energy content 50.4 GJ/t LNG</t>
  </si>
  <si>
    <t>approx 2 trucks per day</t>
  </si>
  <si>
    <t>880 km round trip per truck</t>
  </si>
  <si>
    <t>Heavy Truck (Semi), 0.6 L/km</t>
  </si>
  <si>
    <t>Light Vehicle (Escort/Ute), 0.12 L/km</t>
  </si>
  <si>
    <t>Generator (Small), 10 L/hr</t>
  </si>
  <si>
    <t>Excavator / Loader, 15 L/hr</t>
  </si>
  <si>
    <t>Crane (150t), 30 L/hr</t>
  </si>
  <si>
    <t>Compressor skid and pipework</t>
  </si>
  <si>
    <t>LNG storage tanks - 2 × 120 t</t>
  </si>
  <si>
    <t>Diesel Energy Content 38.6 GJ/kL (NGA 2025)</t>
  </si>
  <si>
    <t>Initial estimations, Site vehicles:  3x Toyota Landcruisers. Daily site inspection + commute (130km)</t>
  </si>
  <si>
    <t>Initial estimations; GHG Protocol Scope 3 Category 2</t>
  </si>
  <si>
    <t xml:space="preserve"> ISCA Materials Calculator v2 / Green Star</t>
  </si>
  <si>
    <t>Scope 3 Category 2 capital goods / 40MPa structural concrete</t>
  </si>
  <si>
    <t>WorldSteel Association Global Average for Plate Steel</t>
  </si>
  <si>
    <t>Scope 3 Category 2 capital goods / plate steel</t>
  </si>
  <si>
    <t>300 kW for 10 minutes, 12 times pa; Clarke Energy PWR Hybrid.pdf KTA50-G3 fuel consumption 50% load. Exact 300 kW fuel rate not provided</t>
  </si>
  <si>
    <t>NGA Factors 2025; GHG Protocol Category 3</t>
  </si>
  <si>
    <t>Initial estimations; GHG Protocol Category 4</t>
  </si>
  <si>
    <t>GHG Protocol Category 9</t>
  </si>
  <si>
    <t>NGA Factors 2025; GHG Protocol Category 11</t>
  </si>
  <si>
    <t>Diesel black-start emissions use the documented KTA50-G3 50% load fuel consumption as a conservative documented value</t>
  </si>
  <si>
    <t>Electricity demand scenario: 1MW from gas generation+ 1.8MW from grid</t>
  </si>
  <si>
    <t>The information requested below is intended to support Clear Carbon’s estimation of Scope 1, Scope 2 and relevant Scope 3 greenhouse gas emissions for the proposed LNG facility, including confirmation of reporting boundaries, engineering assumptions, calculation methodologies, and the management pathway of each emission stream (e.g. vented, flared, combusted, recovered or otherwise managed).</t>
  </si>
  <si>
    <t>Ref</t>
  </si>
  <si>
    <t>Emission Source</t>
  </si>
  <si>
    <t>Information Required from CEFA</t>
  </si>
  <si>
    <t>Parameter / Input Required</t>
  </si>
  <si>
    <t>Quantity</t>
  </si>
  <si>
    <t>Existing Activity Data Assumptions (Feb 2026) / Notes</t>
  </si>
  <si>
    <t>Purpose</t>
  </si>
  <si>
    <t>III.a</t>
  </si>
  <si>
    <t>Scope 1 – Process venting</t>
  </si>
  <si>
    <t>Annual vented methane quantity</t>
  </si>
  <si>
    <t>Annual vented CH₄ quantity</t>
  </si>
  <si>
    <t>Op. maintenance venting allowance estimated at 100kgCH₄/week = 5.2tCH₄/y</t>
  </si>
  <si>
    <t>Scope 1 venting emissions</t>
  </si>
  <si>
    <t>Venting frequency and duration</t>
  </si>
  <si>
    <t>Vent events / vent duration</t>
  </si>
  <si>
    <t>events/year or hrs/year</t>
  </si>
  <si>
    <t>Not separately defined</t>
  </si>
  <si>
    <t>Methodology support</t>
  </si>
  <si>
    <t>Venting source/process description</t>
  </si>
  <si>
    <t>Vent source description</t>
  </si>
  <si>
    <t>Workbook references “upsets, maintenance etc”</t>
  </si>
  <si>
    <t>Scope completeness</t>
  </si>
  <si>
    <t>Calculation basis used for venting estimate</t>
  </si>
  <si>
    <t>Engineering basis / methodology</t>
  </si>
  <si>
    <t>Current calculation uses methane mass basis</t>
  </si>
  <si>
    <t>Audit traceability</t>
  </si>
  <si>
    <t>Gas composition where venting estimated from gas volume</t>
  </si>
  <si>
    <t>CH₄ concentration</t>
  </si>
  <si>
    <t>% mol</t>
  </si>
  <si>
    <t>95% methane, 5% Nitrogen based on gas supply samples and removal of CO2, water and oxygen.</t>
  </si>
  <si>
    <t>CO₂-e conversion</t>
  </si>
  <si>
    <t>III.b</t>
  </si>
  <si>
    <t>Scope 1 – Flaring</t>
  </si>
  <si>
    <t>Flare gas flow rate</t>
  </si>
  <si>
    <t>t/day or GJ/hr</t>
  </si>
  <si>
    <t>Operational upset allowance assumes 70 tpd maximum design flare flow</t>
  </si>
  <si>
    <t>Scope 1 flare emissions</t>
  </si>
  <si>
    <t>Annual flare operating duration</t>
  </si>
  <si>
    <t>Annual flare duration</t>
  </si>
  <si>
    <t>hrs/year</t>
  </si>
  <si>
    <t>5 days/year × 24 hrs = 350 tonnes/year (maintenance &amp; trips)</t>
  </si>
  <si>
    <t>Flare destruction efficiency</t>
  </si>
  <si>
    <t>Destruction efficiency</t>
  </si>
  <si>
    <t>%</t>
  </si>
  <si>
    <t>98% combustion efficiency assumption based on flare data sheet.</t>
  </si>
  <si>
    <t>Flare gas composition or confirmation of natural gas basis</t>
  </si>
  <si>
    <t>CH₄ concentration / gas basis</t>
  </si>
  <si>
    <t>% mol or N/A</t>
  </si>
  <si>
    <t>Not provided</t>
  </si>
  <si>
    <t>III.c</t>
  </si>
  <si>
    <t>Scope 1 – Gas-fired generation</t>
  </si>
  <si>
    <t>Onsite gas generation inclusion within current reporting boundary</t>
  </si>
  <si>
    <t>Included in current scope?</t>
  </si>
  <si>
    <t>Yes/No</t>
  </si>
  <si>
    <t>Section 6.6 references future expansion</t>
  </si>
  <si>
    <t>Boundary confirmation</t>
  </si>
  <si>
    <t>Installed generator capacity</t>
  </si>
  <si>
    <t>Generator capacity</t>
  </si>
  <si>
    <t>MW or kVA</t>
  </si>
  <si>
    <t>2 x 2MW gas generators ( MTU 16V4000)</t>
  </si>
  <si>
    <t>Scope 1 combustion</t>
  </si>
  <si>
    <t>Expected operating profile</t>
  </si>
  <si>
    <t>Operating hours</t>
  </si>
  <si>
    <t>Fuel estimation</t>
  </si>
  <si>
    <t>Annual natural gas consumption</t>
  </si>
  <si>
    <t>Annual gas consumption</t>
  </si>
  <si>
    <t>Estimated at 2,803.2 GJ/year</t>
  </si>
  <si>
    <t>III.d</t>
  </si>
  <si>
    <t>Scope 1 – Fugitive emissions</t>
  </si>
  <si>
    <t>Fugitive emission source applicability</t>
  </si>
  <si>
    <t>Fugitive source applicability</t>
  </si>
  <si>
    <t>Indicative valves/flanges inventory</t>
  </si>
  <si>
    <t>Valves / flanges inventory</t>
  </si>
  <si>
    <t>count</t>
  </si>
  <si>
    <t>Primarily from inlet compressor and MR compressor - Refer emmissions spreadsheet.</t>
  </si>
  <si>
    <t>Scope 1 fugitive emissions</t>
  </si>
  <si>
    <t>Indicative seals/pumps inventory</t>
  </si>
  <si>
    <t>Seals / pumps inventory</t>
  </si>
  <si>
    <t>Piping/connectors subject to fugitive losses</t>
  </si>
  <si>
    <t>Piping / connectors inventory</t>
  </si>
  <si>
    <t>count and/or m</t>
  </si>
  <si>
    <t>Fugitive estimation methodology</t>
  </si>
  <si>
    <t>Fugitive methodology / assumptions</t>
  </si>
  <si>
    <t>III.e</t>
  </si>
  <si>
    <t>Scope 1 – Process emissions</t>
  </si>
  <si>
    <t>Process vent sources</t>
  </si>
  <si>
    <t>Process vent inventory</t>
  </si>
  <si>
    <t>Annual CO₂ vented from process systems</t>
  </si>
  <si>
    <t>CO₂ vent quantity</t>
  </si>
  <si>
    <t>t CO₂/year</t>
  </si>
  <si>
    <t>CO2 is 1% of gas supply which is all removed and vented. 70*365*.01 = 255 tpa.</t>
  </si>
  <si>
    <t>Scope 1 process emissions</t>
  </si>
  <si>
    <t>III.f</t>
  </si>
  <si>
    <t>Scope 1 – LNG storage / BOG</t>
  </si>
  <si>
    <t>BOG generation applicability</t>
  </si>
  <si>
    <t>BOG applicability</t>
  </si>
  <si>
    <t>not applicable.  All BOG is returned to the inlet of the plant including excess BOG from customer sites.</t>
  </si>
  <si>
    <t>BOG generation rate</t>
  </si>
  <si>
    <t>% loss or kg/day</t>
  </si>
  <si>
    <t>BOG emissions estimate</t>
  </si>
  <si>
    <t>LNG storage duration</t>
  </si>
  <si>
    <t>Storage residence time</t>
  </si>
  <si>
    <t>days</t>
  </si>
  <si>
    <t>BOG estimation</t>
  </si>
  <si>
    <t>BOG management pathway</t>
  </si>
  <si>
    <t>Recovery/recompression/flare/vent pathway</t>
  </si>
  <si>
    <t>Net BOG emissions</t>
  </si>
  <si>
    <t>III.g</t>
  </si>
  <si>
    <t>Scope 1 – LNG loading</t>
  </si>
  <si>
    <t>Source applicability</t>
  </si>
  <si>
    <t>Applicability</t>
  </si>
  <si>
    <t>Not Applicable.  Dry break couplings are used. Any LNG in the pipework returns to the tank or BOG system.</t>
  </si>
  <si>
    <t>Annual LNG loading frequency</t>
  </si>
  <si>
    <t>Tanker loading frequency</t>
  </si>
  <si>
    <t>loads/year</t>
  </si>
  <si>
    <t>Loading emissions</t>
  </si>
  <si>
    <t>Annual LNG throughput</t>
  </si>
  <si>
    <t>LNG throughput</t>
  </si>
  <si>
    <t>t/year</t>
  </si>
  <si>
    <t>LNG transfer/loading losses</t>
  </si>
  <si>
    <t>Transfer loss rate</t>
  </si>
  <si>
    <t>LNG loading loss management pathway</t>
  </si>
  <si>
    <t>Vented/flared/recovered/recompressed pathway</t>
  </si>
  <si>
    <t>Determines Scope 1 treatment</t>
  </si>
  <si>
    <t>IV</t>
  </si>
  <si>
    <t>Scope 2 – Grid electricity</t>
  </si>
  <si>
    <t>Expected continuous electrical demand</t>
  </si>
  <si>
    <t>Continuous electrical load</t>
  </si>
  <si>
    <t>Continuous operational demand assumed at 1.9 MW, 360 days pa.</t>
  </si>
  <si>
    <t>Scope 2 emissions</t>
  </si>
  <si>
    <t>Annual electricity consumption</t>
  </si>
  <si>
    <t>Calculated as 24,528 MWh/year based on continuous load</t>
  </si>
  <si>
    <t>Operating profile</t>
  </si>
  <si>
    <t>Implied continuous operation (24 × 360) 5 days down time pa.</t>
  </si>
  <si>
    <t>Electricity reconciliation</t>
  </si>
  <si>
    <t>Utilisation/load factor</t>
  </si>
  <si>
    <t>Load factor / utilisation</t>
  </si>
  <si>
    <t>Not separately provided</t>
  </si>
  <si>
    <t>VII</t>
  </si>
  <si>
    <t>Scope 3 – Downstream LNG use</t>
  </si>
  <si>
    <t>Expected annual LNG production</t>
  </si>
  <si>
    <t>LNG production</t>
  </si>
  <si>
    <t>70 tonnes per day, 360 days pa.</t>
  </si>
  <si>
    <t>Scope 3 downstream combustion</t>
  </si>
  <si>
    <t>LNG energy content</t>
  </si>
  <si>
    <t>Scope 3 combustion</t>
  </si>
  <si>
    <t>LNG transport mode</t>
  </si>
  <si>
    <t>Transport mode</t>
  </si>
  <si>
    <t>Transported in double A road trains, 30 tonnes per truck, approx 2 trucks per day.</t>
  </si>
  <si>
    <t>Scope 3 transport</t>
  </si>
  <si>
    <t>Downstream transport distance</t>
  </si>
  <si>
    <t>Transport distance</t>
  </si>
  <si>
    <t>880km round trip per truck.</t>
  </si>
  <si>
    <t>Expected downstream LNG application</t>
  </si>
  <si>
    <t>End-use profile</t>
  </si>
  <si>
    <t>Initialy, 100% of the gas gas is supplied to pipeline operators who supply gas to customers throughout the east coast of Australia.  The intention is to transition up to 80% of the fuel to displace diesel for power generation throughout rural Queensland.</t>
  </si>
  <si>
    <t>Scope 3 downstream use</t>
  </si>
  <si>
    <r>
      <t xml:space="preserve">No separate process vent inventory identified </t>
    </r>
    <r>
      <rPr>
        <sz val="10"/>
        <color rgb="FFFF0000"/>
        <rFont val="Arial Narrow"/>
        <family val="2"/>
      </rPr>
      <t>- Refer emissions spreadsheet.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</si>
</sst>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00_-;\-* #,##0.0000_-;_-* &quot;-&quot;??_-;_-@_-"/>
    <numFmt numFmtId="165" formatCode="0.0"/>
  </numFmts>
  <fonts count="22" x14ac:knownFonts="1">
    <font>
      <sz val="11"/>
      <color theme="1"/>
      <name val="Calibri"/>
      <family val="2"/>
      <scheme val="minor"/>
    </font>
    <font>
      <sz val="11"/>
      <color rgb="FFFF0000"/>
      <name val="Calibri"/>
      <family val="2"/>
      <scheme val="minor"/>
    </font>
    <font>
      <b/>
      <sz val="11"/>
      <color rgb="FFFFFFFF"/>
      <name val="Arial Narrow"/>
      <family val="2"/>
    </font>
    <font>
      <sz val="11"/>
      <color theme="1"/>
      <name val="Arial Narrow"/>
      <family val="2"/>
    </font>
    <font>
      <sz val="11"/>
      <color rgb="FF0000FF"/>
      <name val="Arial Narrow"/>
      <family val="2"/>
    </font>
    <font>
      <sz val="11"/>
      <color rgb="FF008000"/>
      <name val="Arial Narrow"/>
      <family val="2"/>
    </font>
    <font>
      <b/>
      <sz val="14"/>
      <color rgb="FFFFFFFF"/>
      <name val="Arial Narrow"/>
      <family val="2"/>
    </font>
    <font>
      <b/>
      <sz val="11"/>
      <color rgb="FF000000"/>
      <name val="Arial Narrow"/>
      <family val="2"/>
    </font>
    <font>
      <sz val="11"/>
      <color theme="1"/>
      <name val="Calibri"/>
      <family val="2"/>
      <scheme val="minor"/>
    </font>
    <font>
      <sz val="8"/>
      <name val="Calibri"/>
      <family val="2"/>
      <scheme val="minor"/>
    </font>
    <font>
      <sz val="11"/>
      <color rgb="FF9C5700"/>
      <name val="Calibri"/>
      <family val="2"/>
      <scheme val="minor"/>
    </font>
    <font>
      <sz val="11"/>
      <color rgb="FFFFFFFF"/>
      <name val="Arial Narrow"/>
      <family val="2"/>
    </font>
    <font>
      <b/>
      <sz val="10"/>
      <color rgb="FF000000"/>
      <name val="Arial Narrow"/>
      <family val="2"/>
    </font>
    <font>
      <sz val="10"/>
      <color rgb="FFFF0000"/>
      <name val="Arial Narrow"/>
      <family val="2"/>
    </font>
    <font>
      <sz val="11"/>
      <color theme="1" tint="0.249977111117893"/>
      <name val="Arial Narrow"/>
      <family val="2"/>
    </font>
    <font>
      <b/>
      <sz val="11"/>
      <color theme="1" tint="0.249977111117893"/>
      <name val="Arial Narrow"/>
      <family val="2"/>
    </font>
    <font>
      <u/>
      <sz val="11"/>
      <color theme="10"/>
      <name val="Calibri"/>
      <family val="2"/>
      <scheme val="minor"/>
    </font>
    <font>
      <b/>
      <sz val="11"/>
      <color theme="1"/>
      <name val="Arial Narrow"/>
      <family val="2"/>
    </font>
    <font>
      <u/>
      <sz val="11"/>
      <color theme="1"/>
      <name val="Arial Narrow"/>
      <family val="2"/>
    </font>
    <font>
      <b/>
      <sz val="11"/>
      <color rgb="FF9C5700"/>
      <name val="Arial Narrow"/>
      <family val="2"/>
    </font>
    <font>
      <b/>
      <sz val="10"/>
      <color rgb="FF9C5700"/>
      <name val="Arial Narrow"/>
      <family val="2"/>
    </font>
    <font>
      <sz val="10"/>
      <color rgb="FF9C5700"/>
      <name val="Arial Narrow"/>
      <family val="2"/>
    </font>
  </fonts>
  <fills count="16">
    <fill>
      <patternFill patternType="none"/>
    </fill>
    <fill>
      <patternFill patternType="gray125"/>
    </fill>
    <fill>
      <patternFill patternType="solid">
        <fgColor rgb="FF1F4E78"/>
      </patternFill>
    </fill>
    <fill>
      <patternFill patternType="solid">
        <fgColor rgb="FFFCE4D6"/>
      </patternFill>
    </fill>
    <fill>
      <patternFill patternType="solid">
        <fgColor rgb="FFE7E6E6"/>
      </patternFill>
    </fill>
    <fill>
      <patternFill patternType="solid">
        <fgColor rgb="FFDDEBF7"/>
      </patternFill>
    </fill>
    <fill>
      <patternFill patternType="solid">
        <fgColor rgb="FFE2F0D9"/>
      </patternFill>
    </fill>
    <fill>
      <patternFill patternType="solid">
        <fgColor rgb="FFEADCF8"/>
      </patternFill>
    </fill>
    <fill>
      <patternFill patternType="solid">
        <fgColor rgb="FFFFEB9C"/>
      </patternFill>
    </fill>
    <fill>
      <patternFill patternType="solid">
        <fgColor rgb="FF356854"/>
        <bgColor indexed="64"/>
      </patternFill>
    </fill>
    <fill>
      <patternFill patternType="solid">
        <fgColor theme="7" tint="0.79998168889431442"/>
        <bgColor indexed="64"/>
      </patternFill>
    </fill>
    <fill>
      <patternFill patternType="solid">
        <fgColor rgb="FFF6F8F9"/>
        <bgColor indexed="64"/>
      </patternFill>
    </fill>
    <fill>
      <patternFill patternType="solid">
        <fgColor rgb="FFFFFFFF"/>
        <bgColor indexed="64"/>
      </patternFill>
    </fill>
    <fill>
      <patternFill patternType="solid">
        <fgColor theme="3"/>
        <bgColor indexed="64"/>
      </patternFill>
    </fill>
    <fill>
      <patternFill patternType="solid">
        <fgColor theme="6"/>
        <bgColor indexed="64"/>
      </patternFill>
    </fill>
    <fill>
      <patternFill patternType="solid">
        <fgColor theme="5" tint="0.59999389629810485"/>
        <bgColor indexed="64"/>
      </patternFill>
    </fill>
  </fills>
  <borders count="17">
    <border>
      <left/>
      <right/>
      <top/>
      <bottom/>
      <diagonal/>
    </border>
    <border>
      <left/>
      <right/>
      <top/>
      <bottom style="medium">
        <color rgb="FF1F4E78"/>
      </bottom>
      <diagonal/>
    </border>
    <border>
      <left/>
      <right/>
      <top/>
      <bottom style="thin">
        <color rgb="FFD9E1F2"/>
      </bottom>
      <diagonal/>
    </border>
    <border>
      <left style="thin">
        <color rgb="FF000000"/>
      </left>
      <right style="thin">
        <color rgb="FF356854"/>
      </right>
      <top style="thin">
        <color rgb="FF000000"/>
      </top>
      <bottom style="thin">
        <color rgb="FF284E3F"/>
      </bottom>
      <diagonal/>
    </border>
    <border>
      <left style="thin">
        <color rgb="FFCCCCCC"/>
      </left>
      <right style="thin">
        <color rgb="FF356854"/>
      </right>
      <top style="thin">
        <color rgb="FF000000"/>
      </top>
      <bottom style="thin">
        <color rgb="FF284E3F"/>
      </bottom>
      <diagonal/>
    </border>
    <border>
      <left style="thin">
        <color rgb="FFCCCCCC"/>
      </left>
      <right style="thin">
        <color rgb="FF356854"/>
      </right>
      <top style="thin">
        <color rgb="FF000000"/>
      </top>
      <bottom/>
      <diagonal/>
    </border>
    <border>
      <left style="thin">
        <color rgb="FF000000"/>
      </left>
      <right style="thin">
        <color rgb="FFFFFFFF"/>
      </right>
      <top style="thin">
        <color rgb="FFCCCCCC"/>
      </top>
      <bottom style="thin">
        <color rgb="FFF6F8F9"/>
      </bottom>
      <diagonal/>
    </border>
    <border>
      <left style="thin">
        <color rgb="FFCCCCCC"/>
      </left>
      <right style="thin">
        <color rgb="FFFFFFFF"/>
      </right>
      <top style="thin">
        <color rgb="FFCCCCCC"/>
      </top>
      <bottom style="thin">
        <color rgb="FFF6F8F9"/>
      </bottom>
      <diagonal/>
    </border>
    <border>
      <left style="thin">
        <color rgb="FFCCCCCC"/>
      </left>
      <right style="thin">
        <color rgb="FFF6F8F9"/>
      </right>
      <top style="thin">
        <color rgb="FFCCCCCC"/>
      </top>
      <bottom style="thin">
        <color rgb="FFF6F8F9"/>
      </bottom>
      <diagonal/>
    </border>
    <border>
      <left style="thin">
        <color rgb="FF000000"/>
      </left>
      <right style="thin">
        <color rgb="FFF6F8F9"/>
      </right>
      <top style="thin">
        <color rgb="FFCCCCCC"/>
      </top>
      <bottom style="thin">
        <color rgb="FFF6F8F9"/>
      </bottom>
      <diagonal/>
    </border>
    <border>
      <left style="thin">
        <color rgb="FF000000"/>
      </left>
      <right/>
      <top style="thin">
        <color rgb="FFCCCCCC"/>
      </top>
      <bottom style="thin">
        <color rgb="FFF6F8F9"/>
      </bottom>
      <diagonal/>
    </border>
    <border>
      <left style="thin">
        <color rgb="FF000000"/>
      </left>
      <right/>
      <top style="thin">
        <color rgb="FFCCCCCC"/>
      </top>
      <bottom style="thin">
        <color rgb="FF000000"/>
      </bottom>
      <diagonal/>
    </border>
    <border>
      <left/>
      <right/>
      <top style="thin">
        <color rgb="FFCCCCCC"/>
      </top>
      <bottom style="thin">
        <color rgb="FF000000"/>
      </bottom>
      <diagonal/>
    </border>
    <border>
      <left/>
      <right style="thin">
        <color rgb="FFCCCCCC"/>
      </right>
      <top style="thin">
        <color rgb="FFCCCCCC"/>
      </top>
      <bottom style="thin">
        <color rgb="FF000000"/>
      </bottom>
      <diagonal/>
    </border>
    <border>
      <left style="thin">
        <color rgb="FFCCCCCC"/>
      </left>
      <right style="thin">
        <color rgb="FFFFFFFF"/>
      </right>
      <top style="thin">
        <color rgb="FFCCCCCC"/>
      </top>
      <bottom style="thin">
        <color rgb="FF000000"/>
      </bottom>
      <diagonal/>
    </border>
    <border>
      <left style="thin">
        <color rgb="FFCCCCCC"/>
      </left>
      <right style="thin">
        <color rgb="FFF6F8F9"/>
      </right>
      <top style="thin">
        <color rgb="FFCCCCCC"/>
      </top>
      <bottom style="thin">
        <color rgb="FF000000"/>
      </bottom>
      <diagonal/>
    </border>
    <border>
      <left/>
      <right/>
      <top/>
      <bottom style="thin">
        <color indexed="64"/>
      </bottom>
      <diagonal/>
    </border>
  </borders>
  <cellStyleXfs count="4">
    <xf numFmtId="0" fontId="0" fillId="0" borderId="0"/>
    <xf numFmtId="43" fontId="8" fillId="0" borderId="0" applyFont="0" applyFill="0" applyBorder="0" applyAlignment="0" applyProtection="0"/>
    <xf numFmtId="0" fontId="10" fillId="8" borderId="0" applyNumberFormat="0" applyBorder="0" applyAlignment="0" applyProtection="0"/>
    <xf numFmtId="0" fontId="16" fillId="0" borderId="0" applyNumberFormat="0" applyFill="0" applyBorder="0" applyAlignment="0" applyProtection="0"/>
  </cellStyleXfs>
  <cellXfs count="90">
    <xf numFmtId="0" fontId="0" fillId="0" borderId="0" xfId="0"/>
    <xf numFmtId="0" fontId="2" fillId="2" borderId="1" xfId="0" applyFont="1" applyFill="1" applyBorder="1" applyAlignment="1">
      <alignment horizontal="center" vertical="center" wrapText="1"/>
    </xf>
    <xf numFmtId="0" fontId="3" fillId="0" borderId="2" xfId="0" applyFont="1" applyBorder="1" applyAlignment="1">
      <alignment vertical="top" wrapText="1"/>
    </xf>
    <xf numFmtId="0" fontId="5" fillId="0" borderId="2" xfId="0" applyFont="1" applyBorder="1" applyAlignment="1">
      <alignment vertical="top" wrapText="1"/>
    </xf>
    <xf numFmtId="0" fontId="3" fillId="3" borderId="2" xfId="0" applyFont="1" applyFill="1" applyBorder="1" applyAlignment="1">
      <alignment vertical="top" wrapText="1"/>
    </xf>
    <xf numFmtId="0" fontId="3" fillId="0" borderId="0" xfId="0" applyFont="1"/>
    <xf numFmtId="2" fontId="4" fillId="0" borderId="2" xfId="0" applyNumberFormat="1" applyFont="1" applyBorder="1" applyAlignment="1">
      <alignment vertical="top" wrapText="1"/>
    </xf>
    <xf numFmtId="0" fontId="0" fillId="0" borderId="0" xfId="0" applyAlignment="1">
      <alignment horizontal="center" vertical="center"/>
    </xf>
    <xf numFmtId="0" fontId="1" fillId="0" borderId="0" xfId="0" applyFont="1"/>
    <xf numFmtId="2" fontId="3" fillId="0" borderId="0" xfId="0" applyNumberFormat="1" applyFont="1" applyAlignment="1">
      <alignment horizontal="right"/>
    </xf>
    <xf numFmtId="2" fontId="2" fillId="2" borderId="1" xfId="0" applyNumberFormat="1" applyFont="1" applyFill="1" applyBorder="1" applyAlignment="1">
      <alignment horizontal="right" vertical="center" wrapText="1"/>
    </xf>
    <xf numFmtId="0" fontId="3" fillId="5" borderId="0" xfId="0" applyFont="1" applyFill="1" applyAlignment="1">
      <alignment wrapText="1"/>
    </xf>
    <xf numFmtId="2" fontId="2" fillId="2" borderId="1" xfId="0" applyNumberFormat="1" applyFont="1" applyFill="1" applyBorder="1" applyAlignment="1">
      <alignment horizontal="center" vertical="center" wrapText="1"/>
    </xf>
    <xf numFmtId="0" fontId="3" fillId="6" borderId="2" xfId="0" applyFont="1" applyFill="1" applyBorder="1" applyAlignment="1">
      <alignment vertical="top" wrapText="1"/>
    </xf>
    <xf numFmtId="2" fontId="3" fillId="0" borderId="2" xfId="0" applyNumberFormat="1" applyFont="1" applyBorder="1" applyAlignment="1">
      <alignment horizontal="right" vertical="top" wrapText="1"/>
    </xf>
    <xf numFmtId="2" fontId="3" fillId="0" borderId="2" xfId="0" applyNumberFormat="1" applyFont="1" applyBorder="1" applyAlignment="1">
      <alignment horizontal="left" vertical="top" wrapText="1"/>
    </xf>
    <xf numFmtId="0" fontId="3" fillId="7" borderId="2" xfId="0" applyFont="1" applyFill="1" applyBorder="1" applyAlignment="1">
      <alignment vertical="top" wrapText="1"/>
    </xf>
    <xf numFmtId="2" fontId="3" fillId="0" borderId="0" xfId="0" applyNumberFormat="1" applyFont="1" applyAlignment="1">
      <alignment horizontal="left"/>
    </xf>
    <xf numFmtId="2" fontId="2" fillId="2" borderId="1" xfId="0" applyNumberFormat="1" applyFont="1" applyFill="1" applyBorder="1" applyAlignment="1">
      <alignment horizontal="left" vertical="center" wrapText="1"/>
    </xf>
    <xf numFmtId="43" fontId="2" fillId="2" borderId="1" xfId="1" applyFont="1" applyFill="1" applyBorder="1" applyAlignment="1">
      <alignment horizontal="center" vertical="center" wrapText="1"/>
    </xf>
    <xf numFmtId="43" fontId="2" fillId="2" borderId="1" xfId="1" applyFont="1" applyFill="1" applyBorder="1" applyAlignment="1">
      <alignment horizontal="right" vertical="center" wrapText="1"/>
    </xf>
    <xf numFmtId="43" fontId="3" fillId="0" borderId="0" xfId="1" applyFont="1" applyAlignment="1">
      <alignment horizontal="right"/>
    </xf>
    <xf numFmtId="43" fontId="7" fillId="0" borderId="0" xfId="1" applyFont="1"/>
    <xf numFmtId="0" fontId="3" fillId="0" borderId="0" xfId="0" applyFont="1" applyAlignment="1">
      <alignment vertical="top" wrapText="1"/>
    </xf>
    <xf numFmtId="43" fontId="3" fillId="0" borderId="2" xfId="1" applyFont="1" applyBorder="1" applyAlignment="1">
      <alignment horizontal="right" vertical="top" wrapText="1"/>
    </xf>
    <xf numFmtId="0" fontId="3" fillId="0" borderId="2" xfId="0" applyFont="1" applyBorder="1" applyAlignment="1">
      <alignment horizontal="right" vertical="top" wrapText="1"/>
    </xf>
    <xf numFmtId="43" fontId="3" fillId="0" borderId="2" xfId="1" applyFont="1" applyBorder="1" applyAlignment="1">
      <alignment horizontal="left" vertical="top" wrapText="1"/>
    </xf>
    <xf numFmtId="0" fontId="11" fillId="9" borderId="3" xfId="0" applyFont="1" applyFill="1" applyBorder="1" applyAlignment="1">
      <alignment horizontal="center" vertical="center" wrapText="1" readingOrder="1"/>
    </xf>
    <xf numFmtId="0" fontId="11" fillId="9" borderId="4" xfId="0" applyFont="1" applyFill="1" applyBorder="1" applyAlignment="1">
      <alignment horizontal="center" vertical="center" wrapText="1" readingOrder="1"/>
    </xf>
    <xf numFmtId="0" fontId="11" fillId="9" borderId="5" xfId="0" applyFont="1" applyFill="1" applyBorder="1" applyAlignment="1">
      <alignment horizontal="center" vertical="center" wrapText="1" readingOrder="1"/>
    </xf>
    <xf numFmtId="0" fontId="3" fillId="10" borderId="7" xfId="0" applyFont="1" applyFill="1" applyBorder="1" applyAlignment="1">
      <alignment readingOrder="1"/>
    </xf>
    <xf numFmtId="0" fontId="7" fillId="10" borderId="6" xfId="0" applyFont="1" applyFill="1" applyBorder="1" applyAlignment="1">
      <alignment readingOrder="1"/>
    </xf>
    <xf numFmtId="1" fontId="14" fillId="11" borderId="8" xfId="0" applyNumberFormat="1" applyFont="1" applyFill="1" applyBorder="1" applyAlignment="1">
      <alignment readingOrder="1"/>
    </xf>
    <xf numFmtId="0" fontId="14" fillId="11" borderId="8" xfId="0" applyFont="1" applyFill="1" applyBorder="1" applyAlignment="1">
      <alignment readingOrder="1"/>
    </xf>
    <xf numFmtId="1" fontId="14" fillId="12" borderId="7" xfId="0" applyNumberFormat="1" applyFont="1" applyFill="1" applyBorder="1" applyAlignment="1">
      <alignment readingOrder="1"/>
    </xf>
    <xf numFmtId="0" fontId="14" fillId="12" borderId="7" xfId="0" applyFont="1" applyFill="1" applyBorder="1" applyAlignment="1">
      <alignment readingOrder="1"/>
    </xf>
    <xf numFmtId="3" fontId="14" fillId="11" borderId="8" xfId="0" applyNumberFormat="1" applyFont="1" applyFill="1" applyBorder="1" applyAlignment="1">
      <alignment readingOrder="1"/>
    </xf>
    <xf numFmtId="2" fontId="14" fillId="10" borderId="7" xfId="0" applyNumberFormat="1" applyFont="1" applyFill="1" applyBorder="1" applyAlignment="1">
      <alignment readingOrder="1"/>
    </xf>
    <xf numFmtId="0" fontId="14" fillId="10" borderId="7" xfId="0" applyFont="1" applyFill="1" applyBorder="1" applyAlignment="1">
      <alignment readingOrder="1"/>
    </xf>
    <xf numFmtId="1" fontId="14" fillId="12" borderId="6" xfId="0" applyNumberFormat="1" applyFont="1" applyFill="1" applyBorder="1" applyAlignment="1">
      <alignment readingOrder="1"/>
    </xf>
    <xf numFmtId="165" fontId="14" fillId="12" borderId="7" xfId="0" applyNumberFormat="1" applyFont="1" applyFill="1" applyBorder="1" applyAlignment="1">
      <alignment readingOrder="1"/>
    </xf>
    <xf numFmtId="2" fontId="14" fillId="12" borderId="7" xfId="0" applyNumberFormat="1" applyFont="1" applyFill="1" applyBorder="1" applyAlignment="1">
      <alignment readingOrder="1"/>
    </xf>
    <xf numFmtId="1" fontId="14" fillId="11" borderId="9" xfId="0" applyNumberFormat="1" applyFont="1" applyFill="1" applyBorder="1" applyAlignment="1">
      <alignment readingOrder="1"/>
    </xf>
    <xf numFmtId="165" fontId="14" fillId="11" borderId="8" xfId="0" applyNumberFormat="1" applyFont="1" applyFill="1" applyBorder="1" applyAlignment="1">
      <alignment readingOrder="1"/>
    </xf>
    <xf numFmtId="2" fontId="14" fillId="11" borderId="8" xfId="0" applyNumberFormat="1" applyFont="1" applyFill="1" applyBorder="1" applyAlignment="1">
      <alignment readingOrder="1"/>
    </xf>
    <xf numFmtId="1" fontId="7" fillId="10" borderId="6" xfId="0" applyNumberFormat="1" applyFont="1" applyFill="1" applyBorder="1" applyAlignment="1">
      <alignment readingOrder="1"/>
    </xf>
    <xf numFmtId="1" fontId="14" fillId="10" borderId="7" xfId="0" applyNumberFormat="1" applyFont="1" applyFill="1" applyBorder="1" applyAlignment="1">
      <alignment readingOrder="1"/>
    </xf>
    <xf numFmtId="165" fontId="14" fillId="10" borderId="7" xfId="0" applyNumberFormat="1" applyFont="1" applyFill="1" applyBorder="1" applyAlignment="1">
      <alignment readingOrder="1"/>
    </xf>
    <xf numFmtId="2" fontId="14" fillId="11" borderId="9" xfId="0" applyNumberFormat="1" applyFont="1" applyFill="1" applyBorder="1" applyAlignment="1">
      <alignment readingOrder="1"/>
    </xf>
    <xf numFmtId="1" fontId="7" fillId="10" borderId="9" xfId="0" applyNumberFormat="1" applyFont="1" applyFill="1" applyBorder="1" applyAlignment="1">
      <alignment readingOrder="1"/>
    </xf>
    <xf numFmtId="1" fontId="14" fillId="10" borderId="8" xfId="0" applyNumberFormat="1" applyFont="1" applyFill="1" applyBorder="1" applyAlignment="1">
      <alignment readingOrder="1"/>
    </xf>
    <xf numFmtId="0" fontId="14" fillId="10" borderId="8" xfId="0" applyFont="1" applyFill="1" applyBorder="1" applyAlignment="1">
      <alignment readingOrder="1"/>
    </xf>
    <xf numFmtId="165" fontId="14" fillId="10" borderId="8" xfId="0" applyNumberFormat="1" applyFont="1" applyFill="1" applyBorder="1" applyAlignment="1">
      <alignment readingOrder="1"/>
    </xf>
    <xf numFmtId="2" fontId="14" fillId="10" borderId="8" xfId="0" applyNumberFormat="1" applyFont="1" applyFill="1" applyBorder="1" applyAlignment="1">
      <alignment readingOrder="1"/>
    </xf>
    <xf numFmtId="1" fontId="14" fillId="0" borderId="10" xfId="0" applyNumberFormat="1" applyFont="1" applyBorder="1" applyAlignment="1">
      <alignment readingOrder="1"/>
    </xf>
    <xf numFmtId="0" fontId="15" fillId="10" borderId="11" xfId="0" applyFont="1" applyFill="1" applyBorder="1" applyAlignment="1">
      <alignment readingOrder="1"/>
    </xf>
    <xf numFmtId="0" fontId="15" fillId="10" borderId="12" xfId="0" applyFont="1" applyFill="1" applyBorder="1" applyAlignment="1">
      <alignment readingOrder="1"/>
    </xf>
    <xf numFmtId="0" fontId="15" fillId="10" borderId="13" xfId="0" applyFont="1" applyFill="1" applyBorder="1" applyAlignment="1">
      <alignment readingOrder="1"/>
    </xf>
    <xf numFmtId="165" fontId="15" fillId="10" borderId="14" xfId="0" applyNumberFormat="1" applyFont="1" applyFill="1" applyBorder="1" applyAlignment="1">
      <alignment readingOrder="1"/>
    </xf>
    <xf numFmtId="2" fontId="14" fillId="10" borderId="15" xfId="0" applyNumberFormat="1" applyFont="1" applyFill="1" applyBorder="1" applyAlignment="1">
      <alignment readingOrder="1"/>
    </xf>
    <xf numFmtId="43" fontId="4" fillId="0" borderId="0" xfId="1" applyFont="1" applyBorder="1" applyAlignment="1">
      <alignment vertical="top" wrapText="1"/>
    </xf>
    <xf numFmtId="164" fontId="4" fillId="0" borderId="0" xfId="1" applyNumberFormat="1" applyFont="1" applyBorder="1" applyAlignment="1">
      <alignment vertical="top" wrapText="1"/>
    </xf>
    <xf numFmtId="43" fontId="3" fillId="0" borderId="0" xfId="1" applyFont="1" applyBorder="1"/>
    <xf numFmtId="0" fontId="2" fillId="13" borderId="0" xfId="0" applyFont="1" applyFill="1" applyAlignment="1">
      <alignment horizontal="center" vertical="center" wrapText="1"/>
    </xf>
    <xf numFmtId="43" fontId="2" fillId="13" borderId="0" xfId="1" applyFont="1" applyFill="1" applyBorder="1" applyAlignment="1">
      <alignment horizontal="center" vertical="center" wrapText="1"/>
    </xf>
    <xf numFmtId="0" fontId="0" fillId="13" borderId="0" xfId="0" applyFill="1" applyAlignment="1">
      <alignment horizontal="center"/>
    </xf>
    <xf numFmtId="1" fontId="3" fillId="11" borderId="9" xfId="0" applyNumberFormat="1" applyFont="1" applyFill="1" applyBorder="1" applyAlignment="1">
      <alignment readingOrder="1"/>
    </xf>
    <xf numFmtId="1" fontId="3" fillId="11" borderId="8" xfId="0" applyNumberFormat="1" applyFont="1" applyFill="1" applyBorder="1" applyAlignment="1">
      <alignment readingOrder="1"/>
    </xf>
    <xf numFmtId="0" fontId="3" fillId="11" borderId="8" xfId="0" applyFont="1" applyFill="1" applyBorder="1" applyAlignment="1">
      <alignment readingOrder="1"/>
    </xf>
    <xf numFmtId="165" fontId="3" fillId="11" borderId="8" xfId="0" applyNumberFormat="1" applyFont="1" applyFill="1" applyBorder="1" applyAlignment="1">
      <alignment readingOrder="1"/>
    </xf>
    <xf numFmtId="2" fontId="3" fillId="11" borderId="8" xfId="0" applyNumberFormat="1" applyFont="1" applyFill="1" applyBorder="1" applyAlignment="1">
      <alignment readingOrder="1"/>
    </xf>
    <xf numFmtId="0" fontId="17" fillId="13" borderId="0" xfId="0" applyFont="1" applyFill="1" applyAlignment="1">
      <alignment horizontal="center" vertical="center" wrapText="1"/>
    </xf>
    <xf numFmtId="0" fontId="18" fillId="0" borderId="0" xfId="3" applyFont="1" applyBorder="1"/>
    <xf numFmtId="0" fontId="18" fillId="0" borderId="0" xfId="3" applyFont="1" applyBorder="1" applyAlignment="1">
      <alignment vertical="top" wrapText="1"/>
    </xf>
    <xf numFmtId="0" fontId="20" fillId="8" borderId="16" xfId="2" applyFont="1" applyBorder="1" applyAlignment="1">
      <alignment horizontal="center" vertical="center" wrapText="1"/>
    </xf>
    <xf numFmtId="0" fontId="20" fillId="14" borderId="16" xfId="2" applyFont="1" applyFill="1" applyBorder="1" applyAlignment="1">
      <alignment horizontal="center" vertical="center"/>
    </xf>
    <xf numFmtId="0" fontId="12" fillId="0" borderId="16" xfId="0" applyFont="1" applyBorder="1" applyAlignment="1">
      <alignment horizontal="center" vertical="center" wrapText="1"/>
    </xf>
    <xf numFmtId="0" fontId="20" fillId="8" borderId="0" xfId="2" applyFont="1" applyAlignment="1">
      <alignment vertical="center" wrapText="1"/>
    </xf>
    <xf numFmtId="0" fontId="21" fillId="8" borderId="0" xfId="2" applyFont="1" applyAlignment="1">
      <alignment vertical="center" wrapText="1"/>
    </xf>
    <xf numFmtId="0" fontId="21" fillId="14" borderId="0" xfId="2" applyFont="1" applyFill="1"/>
    <xf numFmtId="0" fontId="21" fillId="15" borderId="0" xfId="2" applyFont="1" applyFill="1" applyAlignment="1">
      <alignment vertical="center" wrapText="1"/>
    </xf>
    <xf numFmtId="9" fontId="21" fillId="8" borderId="0" xfId="2" applyNumberFormat="1" applyFont="1" applyAlignment="1">
      <alignment horizontal="left" vertical="center" wrapText="1"/>
    </xf>
    <xf numFmtId="0" fontId="21" fillId="15" borderId="0" xfId="2" applyFont="1" applyFill="1" applyAlignment="1">
      <alignment horizontal="left" vertical="center" wrapText="1"/>
    </xf>
    <xf numFmtId="0" fontId="3" fillId="0" borderId="0" xfId="0" applyFont="1" applyAlignment="1">
      <alignment vertical="top" wrapText="1"/>
    </xf>
    <xf numFmtId="0" fontId="3" fillId="0" borderId="0" xfId="0" applyFont="1"/>
    <xf numFmtId="0" fontId="2" fillId="2" borderId="0" xfId="0" applyFont="1" applyFill="1"/>
    <xf numFmtId="0" fontId="3" fillId="4" borderId="0" xfId="0" applyFont="1" applyFill="1" applyAlignment="1">
      <alignment horizontal="left"/>
    </xf>
    <xf numFmtId="0" fontId="6" fillId="2" borderId="0" xfId="0" applyFont="1" applyFill="1" applyAlignment="1">
      <alignment horizontal="left" vertical="center"/>
    </xf>
    <xf numFmtId="0" fontId="2" fillId="2" borderId="0" xfId="0" applyFont="1" applyFill="1" applyAlignment="1">
      <alignment horizontal="left" vertical="center" wrapText="1"/>
    </xf>
    <xf numFmtId="0" fontId="19" fillId="8" borderId="0" xfId="2" applyFont="1" applyAlignment="1">
      <alignment horizontal="left" vertical="top" wrapText="1"/>
    </xf>
  </cellXfs>
  <cellStyles count="4">
    <cellStyle name="Comma" xfId="1" builtinId="3"/>
    <cellStyle name="Hyperlink" xfId="3" builtinId="8"/>
    <cellStyle name="Neutral" xfId="2" builtinId="28"/>
    <cellStyle name="Normal" xfId="0" builtinId="0"/>
  </cellStyles>
  <dxfs count="33">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numFmt numFmtId="2" formatCode="0.00"/>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b val="0"/>
        <i val="0"/>
        <strike val="0"/>
        <condense val="0"/>
        <extend val="0"/>
        <outline val="0"/>
        <shadow val="0"/>
        <u val="none"/>
        <vertAlign val="baseline"/>
        <sz val="11"/>
        <color theme="1"/>
        <name val="Arial Narrow"/>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Arial Narrow"/>
        <family val="2"/>
        <scheme val="none"/>
      </font>
      <alignment horizontal="general" vertical="top" textRotation="0" wrapText="1" indent="0" justifyLastLine="0" shrinkToFit="0" readingOrder="0"/>
    </dxf>
    <dxf>
      <font>
        <strike val="0"/>
        <outline val="0"/>
        <shadow val="0"/>
        <u val="none"/>
        <vertAlign val="baseline"/>
        <sz val="11"/>
        <color theme="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fill>
        <patternFill>
          <fgColor indexed="64"/>
          <bgColor theme="3"/>
        </patternFill>
      </fill>
      <alignment horizontal="center" textRotation="0" indent="0" justifyLastLine="0" shrinkToFit="0" readingOrder="0"/>
    </dxf>
    <dxf>
      <font>
        <strike val="0"/>
        <outline val="0"/>
        <shadow val="0"/>
        <u val="none"/>
        <vertAlign val="baseline"/>
        <sz val="11"/>
        <color theme="1"/>
        <name val="Arial Narrow"/>
        <family val="2"/>
        <scheme val="none"/>
      </font>
    </dxf>
    <dxf>
      <font>
        <strike val="0"/>
        <outline val="0"/>
        <shadow val="0"/>
        <u val="none"/>
        <vertAlign val="baseline"/>
        <sz val="11"/>
        <color theme="1"/>
        <name val="Arial Narrow"/>
        <family val="2"/>
        <scheme val="none"/>
      </font>
      <alignment horizontal="right" textRotation="0" indent="0" justifyLastLine="0" shrinkToFit="0" readingOrder="0"/>
    </dxf>
    <dxf>
      <font>
        <strike val="0"/>
        <outline val="0"/>
        <shadow val="0"/>
        <u val="none"/>
        <vertAlign val="baseline"/>
        <sz val="11"/>
        <color theme="1"/>
        <name val="Arial Narrow"/>
        <family val="2"/>
        <scheme val="none"/>
      </font>
      <numFmt numFmtId="2" formatCode="0.00"/>
      <alignment horizontal="left" textRotation="0" indent="0" justifyLastLine="0" shrinkToFit="0" readingOrder="0"/>
    </dxf>
    <dxf>
      <font>
        <strike val="0"/>
        <outline val="0"/>
        <shadow val="0"/>
        <u val="none"/>
        <vertAlign val="baseline"/>
        <sz val="11"/>
        <color theme="1"/>
        <name val="Arial Narrow"/>
        <family val="2"/>
        <scheme val="none"/>
      </font>
      <numFmt numFmtId="2" formatCode="0.00"/>
      <alignment horizontal="right" textRotation="0" indent="0" justifyLastLine="0" shrinkToFit="0" readingOrder="0"/>
    </dxf>
    <dxf>
      <font>
        <strike val="0"/>
        <outline val="0"/>
        <shadow val="0"/>
        <u val="none"/>
        <vertAlign val="baseline"/>
        <sz val="11"/>
        <color theme="1"/>
        <name val="Arial Narrow"/>
        <family val="2"/>
        <scheme val="none"/>
      </font>
      <numFmt numFmtId="2" formatCode="0.00"/>
      <alignment horizontal="right" textRotation="0" indent="0" justifyLastLine="0" shrinkToFit="0" readingOrder="0"/>
    </dxf>
    <dxf>
      <font>
        <strike val="0"/>
        <outline val="0"/>
        <shadow val="0"/>
        <u val="none"/>
        <vertAlign val="baseline"/>
        <sz val="11"/>
        <color theme="1"/>
        <name val="Arial Narrow"/>
        <family val="2"/>
        <scheme val="none"/>
      </font>
      <numFmt numFmtId="2" formatCode="0.00"/>
      <alignment horizontal="right" textRotation="0" indent="0" justifyLastLine="0" shrinkToFit="0" readingOrder="0"/>
    </dxf>
    <dxf>
      <font>
        <strike val="0"/>
        <outline val="0"/>
        <shadow val="0"/>
        <u val="none"/>
        <vertAlign val="baseline"/>
        <sz val="11"/>
        <color theme="1"/>
        <name val="Arial Narrow"/>
        <family val="2"/>
        <scheme val="none"/>
      </font>
      <numFmt numFmtId="2" formatCode="0.00"/>
      <alignment horizontal="right" textRotation="0" indent="0" justifyLastLine="0" shrinkToFit="0" readingOrder="0"/>
    </dxf>
    <dxf>
      <font>
        <strike val="0"/>
        <outline val="0"/>
        <shadow val="0"/>
        <u val="none"/>
        <vertAlign val="baseline"/>
        <sz val="11"/>
        <color theme="1"/>
        <name val="Arial Narrow"/>
        <family val="2"/>
        <scheme val="none"/>
      </font>
      <numFmt numFmtId="2" formatCode="0.00"/>
      <alignment horizontal="right" textRotation="0" indent="0" justifyLastLine="0" shrinkToFit="0" readingOrder="0"/>
    </dxf>
    <dxf>
      <font>
        <strike val="0"/>
        <outline val="0"/>
        <shadow val="0"/>
        <u val="none"/>
        <vertAlign val="baseline"/>
        <sz val="11"/>
        <color theme="1"/>
        <name val="Arial Narrow"/>
        <family val="2"/>
        <scheme val="none"/>
      </font>
      <numFmt numFmtId="2" formatCode="0.00"/>
      <alignment horizontal="right" textRotation="0" indent="0" justifyLastLine="0" shrinkToFit="0" readingOrder="0"/>
    </dxf>
    <dxf>
      <font>
        <strike val="0"/>
        <outline val="0"/>
        <shadow val="0"/>
        <u val="none"/>
        <vertAlign val="baseline"/>
        <sz val="11"/>
        <color theme="1"/>
        <name val="Arial Narrow"/>
        <family val="2"/>
        <scheme val="none"/>
      </font>
      <alignment horizontal="right" textRotation="0" indent="0" justifyLastLine="0" shrinkToFit="0" readingOrder="0"/>
    </dxf>
    <dxf>
      <font>
        <strike val="0"/>
        <outline val="0"/>
        <shadow val="0"/>
        <u val="none"/>
        <vertAlign val="baseline"/>
        <sz val="11"/>
        <color theme="1"/>
        <name val="Arial Narrow"/>
        <family val="2"/>
        <scheme val="none"/>
      </font>
    </dxf>
    <dxf>
      <font>
        <strike val="0"/>
        <outline val="0"/>
        <shadow val="0"/>
        <u val="none"/>
        <vertAlign val="baseline"/>
        <sz val="11"/>
        <color theme="1"/>
        <name val="Arial Narrow"/>
        <family val="2"/>
        <scheme val="none"/>
      </font>
    </dxf>
    <dxf>
      <font>
        <strike val="0"/>
        <outline val="0"/>
        <shadow val="0"/>
        <u val="none"/>
        <vertAlign val="baseline"/>
        <sz val="11"/>
        <color theme="1"/>
        <name val="Arial Narrow"/>
        <family val="2"/>
        <scheme val="none"/>
      </font>
    </dxf>
    <dxf>
      <font>
        <strike val="0"/>
        <outline val="0"/>
        <shadow val="0"/>
        <u val="none"/>
        <vertAlign val="baseline"/>
        <sz val="11"/>
        <color theme="1"/>
        <name val="Arial Narrow"/>
        <family val="2"/>
        <scheme val="none"/>
      </font>
    </dxf>
    <dxf>
      <font>
        <strike val="0"/>
        <outline val="0"/>
        <shadow val="0"/>
        <u val="none"/>
        <vertAlign val="baseline"/>
        <name val="Arial Narrow"/>
        <family val="2"/>
        <scheme val="none"/>
      </font>
    </dxf>
    <dxf>
      <font>
        <strike val="0"/>
        <outline val="0"/>
        <shadow val="0"/>
        <u val="none"/>
        <vertAlign val="baseline"/>
        <sz val="11"/>
        <color theme="1"/>
        <name val="Arial Narrow"/>
        <family val="2"/>
        <scheme val="none"/>
      </font>
    </dxf>
    <dxf>
      <font>
        <strike val="0"/>
        <outline val="0"/>
        <shadow val="0"/>
        <u val="none"/>
        <vertAlign val="baseline"/>
        <name val="Arial Narrow"/>
        <family val="2"/>
        <scheme val="none"/>
      </font>
      <alignment horizontal="center" vertical="center" textRotation="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20956879\Downloads\Clean%20Energy%20%20QLD%20LNG%20Project%20_v2-DW.xlsx" TargetMode="External"/><Relationship Id="rId1" Type="http://schemas.openxmlformats.org/officeDocument/2006/relationships/externalLinkPath" Target="file:///C:\Users\20956879\Downloads\Clean%20Energy%20%20QLD%20LNG%20Project%20_v2-D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22"/>
      <sheetName val="Emission Factors"/>
      <sheetName val="Unit Conversions"/>
      <sheetName val="Activity Data v1 Jan 2026"/>
      <sheetName val="DETSI Request"/>
      <sheetName val="AdditionalDataRequest"/>
    </sheetNames>
    <sheetDataSet>
      <sheetData sheetId="0"/>
      <sheetData sheetId="1">
        <row r="2">
          <cell r="C2">
            <v>70.2</v>
          </cell>
        </row>
        <row r="3">
          <cell r="C3">
            <v>70.2</v>
          </cell>
        </row>
        <row r="4">
          <cell r="C4">
            <v>17.3</v>
          </cell>
        </row>
        <row r="5">
          <cell r="C5">
            <v>0.67</v>
          </cell>
        </row>
        <row r="6">
          <cell r="C6">
            <v>0.09</v>
          </cell>
        </row>
        <row r="7">
          <cell r="C7">
            <v>51.53</v>
          </cell>
        </row>
        <row r="8">
          <cell r="C8">
            <v>8.8000000000000007</v>
          </cell>
        </row>
        <row r="10">
          <cell r="C10">
            <v>1.4999999999999999E-2</v>
          </cell>
        </row>
        <row r="14">
          <cell r="C14">
            <v>0.35</v>
          </cell>
        </row>
        <row r="15">
          <cell r="C15">
            <v>2</v>
          </cell>
        </row>
      </sheetData>
      <sheetData sheetId="2">
        <row r="2">
          <cell r="C2">
            <v>38.6</v>
          </cell>
        </row>
        <row r="3">
          <cell r="C3">
            <v>54.4</v>
          </cell>
        </row>
        <row r="6">
          <cell r="C6">
            <v>28</v>
          </cell>
        </row>
        <row r="8">
          <cell r="C8">
            <v>15</v>
          </cell>
        </row>
        <row r="9">
          <cell r="C9">
            <v>30</v>
          </cell>
        </row>
        <row r="10">
          <cell r="C10">
            <v>10</v>
          </cell>
        </row>
        <row r="11">
          <cell r="C11">
            <v>0.6</v>
          </cell>
        </row>
        <row r="12">
          <cell r="C12">
            <v>0.12</v>
          </cell>
        </row>
      </sheetData>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onversions_Table" displayName="Conversions_Table" ref="A1:E47" headerRowDxfId="15" dataDxfId="14" totalsRowDxfId="13">
  <autoFilter ref="A1:E47" xr:uid="{00000000-0009-0000-0100-000002000000}"/>
  <tableColumns count="5">
    <tableColumn id="2" xr3:uid="{00000000-0010-0000-0100-000002000000}" name="Parameter / conversion" dataDxfId="12"/>
    <tableColumn id="3" xr3:uid="{00000000-0010-0000-0100-000003000000}" name="Value" dataDxfId="11" dataCellStyle="Comma"/>
    <tableColumn id="4" xr3:uid="{00000000-0010-0000-0100-000004000000}" name="Units" dataDxfId="10"/>
    <tableColumn id="8" xr3:uid="{62BB6167-1AD7-4579-87EC-37D730279CB4}" name="Source" dataDxfId="9"/>
    <tableColumn id="10" xr3:uid="{6A4DB12B-80B0-45ED-8237-5FE55563453E}" name="Use in workbook"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Emission_Factors_Table" displayName="Emission_Factors_Table" ref="A1:E15" headerRowDxfId="7" dataDxfId="6" totalsRowDxfId="5">
  <autoFilter ref="A1:E15" xr:uid="{00000000-0009-0000-0100-000003000000}"/>
  <tableColumns count="5">
    <tableColumn id="2" xr3:uid="{00000000-0010-0000-0200-000002000000}" name="Emission factor / parameter" dataDxfId="4"/>
    <tableColumn id="3" xr3:uid="{00000000-0010-0000-0200-000003000000}" name="Value" dataDxfId="3"/>
    <tableColumn id="4" xr3:uid="{00000000-0010-0000-0200-000004000000}" name="Units" dataDxfId="2"/>
    <tableColumn id="5" xr3:uid="{00000000-0010-0000-0200-000005000000}" name="Use in workbook" dataDxfId="1"/>
    <tableColumn id="8" xr3:uid="{00000000-0010-0000-0200-000008000000}" name="URL or attached file reference" dataDxfId="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HG_Calculations" displayName="GHG_Calculations" ref="A11:N40" headerRowDxfId="32" dataDxfId="31" totalsRowDxfId="30">
  <autoFilter ref="A11:N40" xr:uid="{00000000-0009-0000-0100-000001000000}"/>
  <tableColumns count="14">
    <tableColumn id="1" xr3:uid="{00000000-0010-0000-0000-000001000000}" name="Scope" dataDxfId="29"/>
    <tableColumn id="2" xr3:uid="{00000000-0010-0000-0000-000002000000}" name="GHG Protocol category / source type" dataDxfId="28"/>
    <tableColumn id="3" xr3:uid="{00000000-0010-0000-0000-000003000000}" name="Phase" dataDxfId="27"/>
    <tableColumn id="4" xr3:uid="{00000000-0010-0000-0000-000004000000}" name="Activity accounted for" dataDxfId="26"/>
    <tableColumn id="5" xr3:uid="{00000000-0010-0000-0000-000005000000}" name="Activity / input 1" dataDxfId="25" dataCellStyle="Comma"/>
    <tableColumn id="6" xr3:uid="{00000000-0010-0000-0000-000006000000}" name="Unit 1" dataDxfId="24"/>
    <tableColumn id="7" xr3:uid="{00000000-0010-0000-0000-000007000000}" name="Activity / input 2" dataDxfId="23"/>
    <tableColumn id="8" xr3:uid="{00000000-0010-0000-0000-000008000000}" name="Unit 2" dataDxfId="22"/>
    <tableColumn id="9" xr3:uid="{00000000-0010-0000-0000-000009000000}" name="Activity / input 3" dataDxfId="21"/>
    <tableColumn id="10" xr3:uid="{00000000-0010-0000-0000-00000A000000}" name="Unit 3" dataDxfId="20"/>
    <tableColumn id="11" xr3:uid="{00000000-0010-0000-0000-00000B000000}" name="Activity / input 4" dataDxfId="19"/>
    <tableColumn id="12" xr3:uid="{00000000-0010-0000-0000-00000C000000}" name="Unit 4" dataDxfId="18"/>
    <tableColumn id="15" xr3:uid="{00000000-0010-0000-0000-00000F000000}" name="Emissions (tCO2-e)" dataDxfId="17" dataCellStyle="Comma"/>
    <tableColumn id="16" xr3:uid="{00000000-0010-0000-0000-000010000000}" name="Comments" dataDxfId="1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iea.org/data-and-statistics/data-tools/unit-converter?utm" TargetMode="External"/><Relationship Id="rId1" Type="http://schemas.openxmlformats.org/officeDocument/2006/relationships/hyperlink" Target="https://www.engineeringtoolbox.com/methane-density-specific-weight-temperature-pressure-d_2020.html?utm_s"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FD7D-6E63-477F-BEEF-3B03CD18BC73}">
  <sheetPr>
    <pageSetUpPr fitToPage="1"/>
  </sheetPr>
  <dimension ref="A1:K42"/>
  <sheetViews>
    <sheetView topLeftCell="B1" workbookViewId="0">
      <selection activeCell="K19" sqref="K19"/>
    </sheetView>
  </sheetViews>
  <sheetFormatPr defaultRowHeight="16.5" x14ac:dyDescent="0.3"/>
  <cols>
    <col min="1" max="1" width="75.42578125" style="5" bestFit="1" customWidth="1"/>
    <col min="2" max="10" width="9.7109375" style="5" customWidth="1"/>
    <col min="11" max="11" width="139.7109375" style="5" bestFit="1" customWidth="1"/>
  </cols>
  <sheetData>
    <row r="1" spans="1:11" ht="49.5" x14ac:dyDescent="0.25">
      <c r="A1" s="27" t="s">
        <v>245</v>
      </c>
      <c r="B1" s="28" t="s">
        <v>246</v>
      </c>
      <c r="C1" s="28" t="s">
        <v>247</v>
      </c>
      <c r="D1" s="28" t="s">
        <v>248</v>
      </c>
      <c r="E1" s="28" t="s">
        <v>249</v>
      </c>
      <c r="F1" s="28" t="s">
        <v>250</v>
      </c>
      <c r="G1" s="28" t="s">
        <v>251</v>
      </c>
      <c r="H1" s="29" t="s">
        <v>252</v>
      </c>
      <c r="I1" s="29" t="s">
        <v>253</v>
      </c>
      <c r="J1" s="29" t="s">
        <v>254</v>
      </c>
      <c r="K1" s="29" t="s">
        <v>255</v>
      </c>
    </row>
    <row r="2" spans="1:11" x14ac:dyDescent="0.3">
      <c r="A2" s="31" t="s">
        <v>256</v>
      </c>
      <c r="B2" s="30"/>
      <c r="C2" s="30"/>
      <c r="D2" s="30"/>
      <c r="E2" s="30"/>
      <c r="F2" s="30"/>
      <c r="G2" s="30"/>
      <c r="H2" s="30"/>
      <c r="I2" s="30"/>
      <c r="J2" s="30"/>
      <c r="K2" s="30" t="s">
        <v>257</v>
      </c>
    </row>
    <row r="3" spans="1:11" x14ac:dyDescent="0.3">
      <c r="A3" s="32" t="s">
        <v>258</v>
      </c>
      <c r="B3" s="33">
        <v>260</v>
      </c>
      <c r="C3" s="33"/>
      <c r="D3" s="33"/>
      <c r="E3" s="33"/>
      <c r="F3" s="33"/>
      <c r="G3" s="33" t="s">
        <v>65</v>
      </c>
      <c r="H3" s="33"/>
      <c r="I3" s="33"/>
      <c r="J3" s="33">
        <f>B3*'[1]Emission Factors'!$C$14</f>
        <v>91</v>
      </c>
      <c r="K3" s="33" t="s">
        <v>259</v>
      </c>
    </row>
    <row r="4" spans="1:11" x14ac:dyDescent="0.3">
      <c r="A4" s="34" t="s">
        <v>260</v>
      </c>
      <c r="B4" s="35">
        <v>240</v>
      </c>
      <c r="C4" s="35"/>
      <c r="D4" s="35"/>
      <c r="E4" s="35"/>
      <c r="F4" s="35"/>
      <c r="G4" s="35" t="s">
        <v>78</v>
      </c>
      <c r="H4" s="35"/>
      <c r="I4" s="35"/>
      <c r="J4" s="35">
        <f>B4*'[1]Emission Factors'!$C$15</f>
        <v>480</v>
      </c>
      <c r="K4" s="35" t="s">
        <v>261</v>
      </c>
    </row>
    <row r="5" spans="1:11" x14ac:dyDescent="0.3">
      <c r="A5" s="32" t="s">
        <v>262</v>
      </c>
      <c r="B5" s="36">
        <v>120</v>
      </c>
      <c r="C5" s="36"/>
      <c r="D5" s="36"/>
      <c r="E5" s="36"/>
      <c r="F5" s="36"/>
      <c r="G5" s="36" t="s">
        <v>78</v>
      </c>
      <c r="H5" s="36"/>
      <c r="I5" s="36"/>
      <c r="J5" s="36">
        <f>B5*'[1]Emission Factors'!$C$15</f>
        <v>240</v>
      </c>
      <c r="K5" s="36" t="s">
        <v>263</v>
      </c>
    </row>
    <row r="6" spans="1:11" x14ac:dyDescent="0.3">
      <c r="A6" s="31" t="s">
        <v>264</v>
      </c>
      <c r="B6" s="30"/>
      <c r="C6" s="30"/>
      <c r="D6" s="30"/>
      <c r="E6" s="30"/>
      <c r="F6" s="30"/>
      <c r="G6" s="30"/>
      <c r="H6" s="30"/>
      <c r="I6" s="30"/>
      <c r="J6" s="37"/>
      <c r="K6" s="38" t="s">
        <v>257</v>
      </c>
    </row>
    <row r="7" spans="1:11" x14ac:dyDescent="0.3">
      <c r="A7" s="39" t="s">
        <v>265</v>
      </c>
      <c r="B7" s="34">
        <v>1</v>
      </c>
      <c r="C7" s="34">
        <v>8</v>
      </c>
      <c r="D7" s="34"/>
      <c r="E7" s="35">
        <v>14</v>
      </c>
      <c r="F7" s="40">
        <f>(B7*C7*E7*'[1]Unit Conversions'!C8)/1000</f>
        <v>1.68</v>
      </c>
      <c r="G7" s="41" t="s">
        <v>266</v>
      </c>
      <c r="H7" s="40"/>
      <c r="I7" s="40"/>
      <c r="J7" s="40">
        <f>F7*'[1]Unit Conversions'!$C$2*('[1]Emission Factors'!$C$2+'[1]Emission Factors'!$C$4)/1000</f>
        <v>5.6741999999999999</v>
      </c>
      <c r="K7" s="41" t="s">
        <v>267</v>
      </c>
    </row>
    <row r="8" spans="1:11" x14ac:dyDescent="0.3">
      <c r="A8" s="42" t="s">
        <v>268</v>
      </c>
      <c r="B8" s="32">
        <v>1</v>
      </c>
      <c r="C8" s="32">
        <v>4</v>
      </c>
      <c r="D8" s="32"/>
      <c r="E8" s="33">
        <v>14</v>
      </c>
      <c r="F8" s="43">
        <f>(B8*C8*E8*'[1]Unit Conversions'!C8)/1000</f>
        <v>0.84</v>
      </c>
      <c r="G8" s="44" t="s">
        <v>266</v>
      </c>
      <c r="H8" s="43"/>
      <c r="I8" s="43"/>
      <c r="J8" s="43">
        <f>F8*'[1]Unit Conversions'!$C$2*('[1]Emission Factors'!$C$2+'[1]Emission Factors'!$C$4)/1000</f>
        <v>2.8371</v>
      </c>
      <c r="K8" s="44" t="s">
        <v>269</v>
      </c>
    </row>
    <row r="9" spans="1:11" x14ac:dyDescent="0.3">
      <c r="A9" s="39" t="s">
        <v>270</v>
      </c>
      <c r="B9" s="34">
        <v>1</v>
      </c>
      <c r="C9" s="34">
        <v>6</v>
      </c>
      <c r="D9" s="34">
        <v>130</v>
      </c>
      <c r="E9" s="35">
        <v>4</v>
      </c>
      <c r="F9" s="40">
        <f>((B9*C9*E9*'[1]Unit Conversions'!C9)+(B9*D9*E9*'[1]Unit Conversions'!C11))/1000</f>
        <v>1.032</v>
      </c>
      <c r="G9" s="35" t="s">
        <v>266</v>
      </c>
      <c r="H9" s="40"/>
      <c r="I9" s="40"/>
      <c r="J9" s="40">
        <f>F9*'[1]Unit Conversions'!$C$2*('[1]Emission Factors'!$C$2+'[1]Emission Factors'!$C$4)/1000</f>
        <v>3.4855800000000001</v>
      </c>
      <c r="K9" s="35" t="s">
        <v>271</v>
      </c>
    </row>
    <row r="10" spans="1:11" x14ac:dyDescent="0.3">
      <c r="A10" s="42" t="s">
        <v>272</v>
      </c>
      <c r="B10" s="32">
        <v>1</v>
      </c>
      <c r="C10" s="32">
        <v>4</v>
      </c>
      <c r="D10" s="32">
        <v>130</v>
      </c>
      <c r="E10" s="36">
        <v>10</v>
      </c>
      <c r="F10" s="43">
        <f>((B10*C10*E10*'[1]Unit Conversions'!C8)+(B10*D10*E10*'[1]Unit Conversions'!C11))/1000</f>
        <v>1.38</v>
      </c>
      <c r="G10" s="33" t="s">
        <v>266</v>
      </c>
      <c r="H10" s="43"/>
      <c r="I10" s="43"/>
      <c r="J10" s="43">
        <f>F10*'[1]Unit Conversions'!$C$2*('[1]Emission Factors'!$C$2+'[1]Emission Factors'!$C$4)/1000</f>
        <v>4.6609499999999997</v>
      </c>
      <c r="K10" s="33" t="s">
        <v>273</v>
      </c>
    </row>
    <row r="11" spans="1:11" x14ac:dyDescent="0.3">
      <c r="A11" s="39" t="s">
        <v>274</v>
      </c>
      <c r="B11" s="34">
        <v>3</v>
      </c>
      <c r="C11" s="34"/>
      <c r="D11" s="34">
        <v>130</v>
      </c>
      <c r="E11" s="35">
        <v>90</v>
      </c>
      <c r="F11" s="40">
        <f>(B11*D11*E11*'[1]Unit Conversions'!C12)/1000</f>
        <v>4.2119999999999997</v>
      </c>
      <c r="G11" s="35" t="s">
        <v>266</v>
      </c>
      <c r="H11" s="40"/>
      <c r="I11" s="40"/>
      <c r="J11" s="40">
        <f>(F11*'[1]Unit Conversions'!$C$2*'[1]Emission Factors'!$C$3/1000)+F11*'[1]Unit Conversions'!$C$2*'[1]Emission Factors'!$C$4/1000</f>
        <v>14.22603</v>
      </c>
      <c r="K11" s="35" t="s">
        <v>275</v>
      </c>
    </row>
    <row r="12" spans="1:11" x14ac:dyDescent="0.3">
      <c r="A12" s="42" t="s">
        <v>276</v>
      </c>
      <c r="B12" s="32">
        <v>1</v>
      </c>
      <c r="C12" s="32">
        <v>3</v>
      </c>
      <c r="D12" s="32"/>
      <c r="E12" s="33">
        <v>90</v>
      </c>
      <c r="F12" s="43">
        <f>(B12*C12*E12*'[1]Unit Conversions'!C8)/1000</f>
        <v>4.05</v>
      </c>
      <c r="G12" s="33" t="s">
        <v>266</v>
      </c>
      <c r="H12" s="43"/>
      <c r="I12" s="43"/>
      <c r="J12" s="43">
        <f>F12*'[1]Unit Conversions'!$C$2*('[1]Emission Factors'!$C$2+'[1]Emission Factors'!$C$4)/1000</f>
        <v>13.678875000000001</v>
      </c>
      <c r="K12" s="33" t="s">
        <v>277</v>
      </c>
    </row>
    <row r="13" spans="1:11" x14ac:dyDescent="0.3">
      <c r="A13" s="45" t="s">
        <v>278</v>
      </c>
      <c r="B13" s="46"/>
      <c r="C13" s="46"/>
      <c r="D13" s="46"/>
      <c r="E13" s="38"/>
      <c r="F13" s="47"/>
      <c r="G13" s="38"/>
      <c r="H13" s="47"/>
      <c r="I13" s="47"/>
      <c r="J13" s="47"/>
      <c r="K13" s="38" t="s">
        <v>257</v>
      </c>
    </row>
    <row r="14" spans="1:11" x14ac:dyDescent="0.3">
      <c r="A14" s="42" t="s">
        <v>279</v>
      </c>
      <c r="B14" s="32">
        <v>6</v>
      </c>
      <c r="C14" s="32"/>
      <c r="D14" s="32">
        <v>1000</v>
      </c>
      <c r="E14" s="33">
        <v>4.5</v>
      </c>
      <c r="F14" s="43">
        <f>(B14*D14*'[1]Unit Conversions'!C11)/1000</f>
        <v>3.6</v>
      </c>
      <c r="G14" s="33" t="s">
        <v>266</v>
      </c>
      <c r="H14" s="43"/>
      <c r="I14" s="43"/>
      <c r="J14" s="43">
        <f>F14*'[1]Unit Conversions'!$C$2*('[1]Emission Factors'!$C$3+'[1]Emission Factors'!$C$4)/1000</f>
        <v>12.159000000000001</v>
      </c>
      <c r="K14" s="44" t="s">
        <v>280</v>
      </c>
    </row>
    <row r="15" spans="1:11" x14ac:dyDescent="0.3">
      <c r="A15" s="39" t="s">
        <v>281</v>
      </c>
      <c r="B15" s="34">
        <v>240</v>
      </c>
      <c r="C15" s="34"/>
      <c r="D15" s="34">
        <v>8300</v>
      </c>
      <c r="E15" s="35">
        <v>1</v>
      </c>
      <c r="F15" s="40">
        <f>B15*D15</f>
        <v>1992000</v>
      </c>
      <c r="G15" s="35" t="s">
        <v>282</v>
      </c>
      <c r="H15" s="40"/>
      <c r="I15" s="40"/>
      <c r="J15" s="40">
        <f>F15*'[1]Emission Factors'!$C$10/1000</f>
        <v>29.88</v>
      </c>
      <c r="K15" s="41" t="s">
        <v>283</v>
      </c>
    </row>
    <row r="16" spans="1:11" x14ac:dyDescent="0.3">
      <c r="A16" s="42" t="s">
        <v>284</v>
      </c>
      <c r="B16" s="32">
        <v>1</v>
      </c>
      <c r="C16" s="32"/>
      <c r="D16" s="32">
        <v>260</v>
      </c>
      <c r="E16" s="33">
        <v>1</v>
      </c>
      <c r="F16" s="43">
        <f>(D16*((2*'[1]Unit Conversions'!C11)+(8*'[1]Unit Conversions'!$C$12)))/1000</f>
        <v>0.56159999999999999</v>
      </c>
      <c r="G16" s="33" t="s">
        <v>266</v>
      </c>
      <c r="H16" s="43"/>
      <c r="I16" s="43"/>
      <c r="J16" s="43">
        <f>F16*'[1]Unit Conversions'!$C$2*('[1]Emission Factors'!$C$3+'[1]Emission Factors'!$C$4)/1000</f>
        <v>1.8968039999999999</v>
      </c>
      <c r="K16" s="44" t="s">
        <v>285</v>
      </c>
    </row>
    <row r="17" spans="1:11" x14ac:dyDescent="0.3">
      <c r="A17" s="39" t="s">
        <v>286</v>
      </c>
      <c r="B17" s="34">
        <v>30</v>
      </c>
      <c r="C17" s="34"/>
      <c r="D17" s="34">
        <v>12000</v>
      </c>
      <c r="E17" s="35">
        <v>1</v>
      </c>
      <c r="F17" s="40">
        <f>B17*D17</f>
        <v>360000</v>
      </c>
      <c r="G17" s="35" t="s">
        <v>282</v>
      </c>
      <c r="H17" s="40"/>
      <c r="I17" s="40"/>
      <c r="J17" s="40">
        <f>F17*'[1]Emission Factors'!$C$10/1000</f>
        <v>5.4</v>
      </c>
      <c r="K17" s="35" t="s">
        <v>287</v>
      </c>
    </row>
    <row r="18" spans="1:11" x14ac:dyDescent="0.3">
      <c r="A18" s="48" t="s">
        <v>288</v>
      </c>
      <c r="B18" s="33">
        <v>1</v>
      </c>
      <c r="C18" s="44"/>
      <c r="D18" s="33">
        <v>260</v>
      </c>
      <c r="E18" s="33">
        <v>1</v>
      </c>
      <c r="F18" s="43">
        <f>(D18*((1*'[1]Unit Conversions'!$C$11)+(4*'[1]Unit Conversions'!$C$12)))/1000</f>
        <v>0.28079999999999999</v>
      </c>
      <c r="G18" s="44" t="s">
        <v>266</v>
      </c>
      <c r="H18" s="43"/>
      <c r="I18" s="43"/>
      <c r="J18" s="43">
        <f>F18*'[1]Unit Conversions'!$C$2*('[1]Emission Factors'!$C$3+'[1]Emission Factors'!$C$4)/1000</f>
        <v>0.94840199999999997</v>
      </c>
      <c r="K18" s="44" t="s">
        <v>289</v>
      </c>
    </row>
    <row r="19" spans="1:11" x14ac:dyDescent="0.3">
      <c r="A19" s="39" t="s">
        <v>290</v>
      </c>
      <c r="B19" s="34">
        <v>6</v>
      </c>
      <c r="C19" s="34"/>
      <c r="D19" s="34">
        <v>1200</v>
      </c>
      <c r="E19" s="35">
        <v>1</v>
      </c>
      <c r="F19" s="40">
        <f>(B19*D19*'[1]Unit Conversions'!C11)/1000</f>
        <v>4.32</v>
      </c>
      <c r="G19" s="41" t="s">
        <v>266</v>
      </c>
      <c r="H19" s="40"/>
      <c r="I19" s="40"/>
      <c r="J19" s="40">
        <f>F19*'[1]Unit Conversions'!$C$2*('[1]Emission Factors'!$C$3+'[1]Emission Factors'!$C$4)/1000</f>
        <v>14.590800000000002</v>
      </c>
      <c r="K19" s="41" t="s">
        <v>291</v>
      </c>
    </row>
    <row r="20" spans="1:11" x14ac:dyDescent="0.3">
      <c r="A20" s="49" t="s">
        <v>292</v>
      </c>
      <c r="B20" s="50"/>
      <c r="C20" s="50"/>
      <c r="D20" s="50"/>
      <c r="E20" s="51"/>
      <c r="F20" s="52"/>
      <c r="G20" s="53"/>
      <c r="H20" s="52"/>
      <c r="I20" s="52"/>
      <c r="J20" s="52"/>
      <c r="K20" s="38" t="s">
        <v>293</v>
      </c>
    </row>
    <row r="21" spans="1:11" x14ac:dyDescent="0.3">
      <c r="A21" s="39" t="s">
        <v>294</v>
      </c>
      <c r="B21" s="34">
        <v>1</v>
      </c>
      <c r="C21" s="34">
        <v>12</v>
      </c>
      <c r="D21" s="34"/>
      <c r="E21" s="35">
        <v>90</v>
      </c>
      <c r="F21" s="40">
        <f>(B21*C21*E21*'[1]Unit Conversions'!C10)/1000</f>
        <v>10.8</v>
      </c>
      <c r="G21" s="35" t="s">
        <v>266</v>
      </c>
      <c r="H21" s="40">
        <f>F21*'[1]Unit Conversions'!$C$2*'[1]Emission Factors'!$C$2/1000</f>
        <v>29.264976000000004</v>
      </c>
      <c r="I21" s="40"/>
      <c r="J21" s="40">
        <f>F21*'[1]Unit Conversions'!$C$2*'[1]Emission Factors'!$C$4/1000</f>
        <v>7.2120240000000013</v>
      </c>
      <c r="K21" s="35" t="s">
        <v>295</v>
      </c>
    </row>
    <row r="22" spans="1:11" x14ac:dyDescent="0.3">
      <c r="A22" s="42" t="s">
        <v>296</v>
      </c>
      <c r="B22" s="32">
        <v>1</v>
      </c>
      <c r="C22" s="32">
        <v>4</v>
      </c>
      <c r="D22" s="32"/>
      <c r="E22" s="36">
        <v>90</v>
      </c>
      <c r="F22" s="43">
        <f>(B22*C22*E22*'[1]Unit Conversions'!$C$10)/1000</f>
        <v>3.6</v>
      </c>
      <c r="G22" s="33" t="s">
        <v>266</v>
      </c>
      <c r="H22" s="43">
        <f>F22*'[1]Unit Conversions'!$C$2*'[1]Emission Factors'!$C$2/1000</f>
        <v>9.7549919999999997</v>
      </c>
      <c r="I22" s="43"/>
      <c r="J22" s="43">
        <f>F22*'[1]Unit Conversions'!$C$2*'[1]Emission Factors'!$C$4/1000</f>
        <v>2.4040080000000001</v>
      </c>
      <c r="K22" s="33" t="s">
        <v>297</v>
      </c>
    </row>
    <row r="23" spans="1:11" x14ac:dyDescent="0.3">
      <c r="A23" s="45" t="s">
        <v>56</v>
      </c>
      <c r="B23" s="46"/>
      <c r="C23" s="46"/>
      <c r="D23" s="46"/>
      <c r="E23" s="38"/>
      <c r="F23" s="47"/>
      <c r="G23" s="38"/>
      <c r="H23" s="47"/>
      <c r="I23" s="47"/>
      <c r="J23" s="47"/>
      <c r="K23" s="38" t="s">
        <v>293</v>
      </c>
    </row>
    <row r="24" spans="1:11" x14ac:dyDescent="0.3">
      <c r="A24" s="42" t="s">
        <v>298</v>
      </c>
      <c r="B24" s="32">
        <v>2.2000000000000002</v>
      </c>
      <c r="C24" s="32"/>
      <c r="D24" s="32"/>
      <c r="E24" s="33"/>
      <c r="F24" s="43">
        <f>B24</f>
        <v>2.2000000000000002</v>
      </c>
      <c r="G24" s="33" t="s">
        <v>78</v>
      </c>
      <c r="H24" s="43">
        <f>F24*'[1]Unit Conversions'!$C$6</f>
        <v>61.600000000000009</v>
      </c>
      <c r="I24" s="43"/>
      <c r="J24" s="43"/>
      <c r="K24" s="33" t="s">
        <v>299</v>
      </c>
    </row>
    <row r="25" spans="1:11" x14ac:dyDescent="0.3">
      <c r="A25" s="39" t="s">
        <v>300</v>
      </c>
      <c r="B25" s="40">
        <f>200/1000</f>
        <v>0.2</v>
      </c>
      <c r="C25" s="34"/>
      <c r="D25" s="34"/>
      <c r="E25" s="35"/>
      <c r="F25" s="40">
        <f>B25</f>
        <v>0.2</v>
      </c>
      <c r="G25" s="35" t="s">
        <v>78</v>
      </c>
      <c r="H25" s="40">
        <f>F25*'[1]Unit Conversions'!$C$6</f>
        <v>5.6000000000000005</v>
      </c>
      <c r="I25" s="40"/>
      <c r="J25" s="40"/>
      <c r="K25" s="35" t="s">
        <v>301</v>
      </c>
    </row>
    <row r="26" spans="1:11" x14ac:dyDescent="0.3">
      <c r="A26" s="42" t="s">
        <v>302</v>
      </c>
      <c r="B26" s="32">
        <v>4</v>
      </c>
      <c r="C26" s="32">
        <v>4</v>
      </c>
      <c r="D26" s="32"/>
      <c r="E26" s="33"/>
      <c r="F26" s="43">
        <f>(B26*C26*(20/24))*'[1]Unit Conversions'!$C$3</f>
        <v>725.33333333333337</v>
      </c>
      <c r="G26" s="33" t="s">
        <v>59</v>
      </c>
      <c r="H26" s="43">
        <f>F26*'[1]Emission Factors'!$C$7/1000</f>
        <v>37.376426666666667</v>
      </c>
      <c r="I26" s="43"/>
      <c r="J26" s="43"/>
      <c r="K26" s="44" t="s">
        <v>303</v>
      </c>
    </row>
    <row r="27" spans="1:11" x14ac:dyDescent="0.3">
      <c r="A27" s="45" t="s">
        <v>304</v>
      </c>
      <c r="B27" s="46"/>
      <c r="C27" s="46"/>
      <c r="D27" s="46"/>
      <c r="E27" s="38"/>
      <c r="F27" s="47"/>
      <c r="G27" s="38"/>
      <c r="H27" s="47"/>
      <c r="I27" s="47"/>
      <c r="J27" s="47"/>
      <c r="K27" s="37" t="s">
        <v>305</v>
      </c>
    </row>
    <row r="28" spans="1:11" x14ac:dyDescent="0.3">
      <c r="A28" s="66" t="s">
        <v>306</v>
      </c>
      <c r="B28" s="67">
        <v>2</v>
      </c>
      <c r="C28" s="67">
        <v>8</v>
      </c>
      <c r="D28" s="67"/>
      <c r="E28" s="68"/>
      <c r="F28" s="69">
        <f>(B28*C28*(70/24))*'[1]Unit Conversions'!$C$3</f>
        <v>2538.6666666666665</v>
      </c>
      <c r="G28" s="68" t="s">
        <v>59</v>
      </c>
      <c r="H28" s="69">
        <f>F28*'[1]Emission Factors'!$C$7/1000</f>
        <v>130.81749333333335</v>
      </c>
      <c r="I28" s="69"/>
      <c r="J28" s="69"/>
      <c r="K28" s="70" t="s">
        <v>307</v>
      </c>
    </row>
    <row r="29" spans="1:11" x14ac:dyDescent="0.3">
      <c r="A29" s="39" t="s">
        <v>308</v>
      </c>
      <c r="B29" s="34">
        <v>2</v>
      </c>
      <c r="C29" s="34"/>
      <c r="D29" s="34">
        <v>900</v>
      </c>
      <c r="E29" s="35">
        <v>365</v>
      </c>
      <c r="F29" s="40">
        <f>(B29*D29*E29*'[1]Unit Conversions'!C11)/1000</f>
        <v>394.2</v>
      </c>
      <c r="G29" s="41" t="s">
        <v>266</v>
      </c>
      <c r="H29" s="40"/>
      <c r="I29" s="40"/>
      <c r="J29" s="40">
        <f>F29*'[1]Unit Conversions'!$C$2*('[1]Emission Factors'!$C$3+'[1]Emission Factors'!$C$4)/1000</f>
        <v>1331.4105</v>
      </c>
      <c r="K29" s="35" t="s">
        <v>309</v>
      </c>
    </row>
    <row r="30" spans="1:11" x14ac:dyDescent="0.3">
      <c r="A30" s="42" t="s">
        <v>310</v>
      </c>
      <c r="B30" s="32">
        <v>1</v>
      </c>
      <c r="C30" s="32">
        <v>8</v>
      </c>
      <c r="D30" s="32"/>
      <c r="E30" s="33">
        <v>365</v>
      </c>
      <c r="F30" s="43">
        <f>((B30*C30*E30*80*3.6)/0.3)/1000</f>
        <v>2803.2</v>
      </c>
      <c r="G30" s="33" t="s">
        <v>59</v>
      </c>
      <c r="H30" s="43">
        <f>F30*'[1]Emission Factors'!$C$7/1000</f>
        <v>144.44889600000002</v>
      </c>
      <c r="I30" s="43"/>
      <c r="J30" s="43">
        <f>F30*'[1]Emission Factors'!$C$8/1000</f>
        <v>24.66816</v>
      </c>
      <c r="K30" s="44" t="s">
        <v>311</v>
      </c>
    </row>
    <row r="31" spans="1:11" x14ac:dyDescent="0.3">
      <c r="A31" s="39" t="s">
        <v>48</v>
      </c>
      <c r="B31" s="34">
        <v>3</v>
      </c>
      <c r="C31" s="34"/>
      <c r="D31" s="34">
        <v>130</v>
      </c>
      <c r="E31" s="35">
        <v>365</v>
      </c>
      <c r="F31" s="40">
        <f>(B31*D31*E31*'[1]Unit Conversions'!C12)/1000</f>
        <v>17.082000000000001</v>
      </c>
      <c r="G31" s="41" t="s">
        <v>266</v>
      </c>
      <c r="H31" s="40">
        <f>F31*'[1]Unit Conversions'!$C$2*'[1]Emission Factors'!$C$3/1000</f>
        <v>46.287437040000007</v>
      </c>
      <c r="I31" s="40"/>
      <c r="J31" s="40">
        <f>F31*'[1]Unit Conversions'!$C$2*'[1]Emission Factors'!$C$4/1000</f>
        <v>11.407017960000001</v>
      </c>
      <c r="K31" s="41" t="s">
        <v>312</v>
      </c>
    </row>
    <row r="32" spans="1:11" x14ac:dyDescent="0.3">
      <c r="A32" s="42" t="s">
        <v>313</v>
      </c>
      <c r="B32" s="32">
        <v>24528</v>
      </c>
      <c r="C32" s="32"/>
      <c r="D32" s="32"/>
      <c r="E32" s="33"/>
      <c r="F32" s="43">
        <f>B32</f>
        <v>24528</v>
      </c>
      <c r="G32" s="33" t="s">
        <v>314</v>
      </c>
      <c r="H32" s="43"/>
      <c r="I32" s="43">
        <f>F32*'[1]Emission Factors'!$C$5</f>
        <v>16433.760000000002</v>
      </c>
      <c r="J32" s="43">
        <f>F32*'[1]Emission Factors'!$C$6</f>
        <v>2207.52</v>
      </c>
      <c r="K32" s="44" t="s">
        <v>315</v>
      </c>
    </row>
    <row r="33" spans="1:11" x14ac:dyDescent="0.3">
      <c r="A33" s="54" t="s">
        <v>316</v>
      </c>
      <c r="B33" s="34">
        <v>5.2</v>
      </c>
      <c r="C33" s="34"/>
      <c r="D33" s="34"/>
      <c r="E33" s="35"/>
      <c r="F33" s="40">
        <f>B33</f>
        <v>5.2</v>
      </c>
      <c r="G33" s="41" t="s">
        <v>78</v>
      </c>
      <c r="H33" s="40">
        <f>F33*'[1]Unit Conversions'!$C$6</f>
        <v>145.6</v>
      </c>
      <c r="I33" s="40"/>
      <c r="J33" s="40"/>
      <c r="K33" s="41" t="s">
        <v>317</v>
      </c>
    </row>
    <row r="34" spans="1:11" x14ac:dyDescent="0.3">
      <c r="A34" s="45" t="s">
        <v>318</v>
      </c>
      <c r="B34" s="46"/>
      <c r="C34" s="46"/>
      <c r="D34" s="46"/>
      <c r="E34" s="38"/>
      <c r="F34" s="47"/>
      <c r="G34" s="37"/>
      <c r="H34" s="47"/>
      <c r="I34" s="47"/>
      <c r="J34" s="47"/>
      <c r="K34" s="38" t="s">
        <v>319</v>
      </c>
    </row>
    <row r="35" spans="1:11" x14ac:dyDescent="0.3">
      <c r="A35" s="42" t="s">
        <v>320</v>
      </c>
      <c r="B35" s="32">
        <v>1</v>
      </c>
      <c r="C35" s="32">
        <v>12</v>
      </c>
      <c r="D35" s="32"/>
      <c r="E35" s="33">
        <v>14</v>
      </c>
      <c r="F35" s="43">
        <f>(B35*C35*E35*'[1]Unit Conversions'!C10)/1000</f>
        <v>1.68</v>
      </c>
      <c r="G35" s="44" t="s">
        <v>266</v>
      </c>
      <c r="H35" s="43">
        <f>F35*'[1]Unit Conversions'!$C$2*'[1]Emission Factors'!$C$2/1000</f>
        <v>4.5523296000000002</v>
      </c>
      <c r="I35" s="43"/>
      <c r="J35" s="43">
        <f>F35*'[1]Unit Conversions'!$C$2*'[1]Emission Factors'!$C$4/1000</f>
        <v>1.1218703999999999</v>
      </c>
      <c r="K35" s="43" t="s">
        <v>321</v>
      </c>
    </row>
    <row r="36" spans="1:11" x14ac:dyDescent="0.3">
      <c r="A36" s="39" t="s">
        <v>322</v>
      </c>
      <c r="B36" s="34">
        <v>1</v>
      </c>
      <c r="C36" s="34">
        <v>4</v>
      </c>
      <c r="D36" s="34"/>
      <c r="E36" s="35">
        <v>7</v>
      </c>
      <c r="F36" s="40">
        <f>(B36*C36*E36*'[1]Unit Conversions'!C8)/1000</f>
        <v>0.42</v>
      </c>
      <c r="G36" s="41" t="s">
        <v>266</v>
      </c>
      <c r="H36" s="40"/>
      <c r="I36" s="40"/>
      <c r="J36" s="40">
        <f>F36*'[1]Unit Conversions'!$C$2*('[1]Emission Factors'!$C$2+'[1]Emission Factors'!$C$4)/1000</f>
        <v>1.41855</v>
      </c>
      <c r="K36" s="40" t="s">
        <v>323</v>
      </c>
    </row>
    <row r="37" spans="1:11" x14ac:dyDescent="0.3">
      <c r="A37" s="42" t="s">
        <v>270</v>
      </c>
      <c r="B37" s="32">
        <v>1</v>
      </c>
      <c r="C37" s="32">
        <v>6</v>
      </c>
      <c r="D37" s="32">
        <v>130</v>
      </c>
      <c r="E37" s="33">
        <v>2</v>
      </c>
      <c r="F37" s="43">
        <f>((B37*C37*E37*'[1]Unit Conversions'!$C$9)+(B37*D37*E37*'[1]Unit Conversions'!$C$11))/1000</f>
        <v>0.51600000000000001</v>
      </c>
      <c r="G37" s="44" t="s">
        <v>266</v>
      </c>
      <c r="H37" s="43"/>
      <c r="I37" s="43"/>
      <c r="J37" s="43">
        <f>F37*'[1]Unit Conversions'!$C$2*('[1]Emission Factors'!$C$2+'[1]Emission Factors'!$C$4)/1000</f>
        <v>1.7427900000000001</v>
      </c>
      <c r="K37" s="43" t="s">
        <v>324</v>
      </c>
    </row>
    <row r="38" spans="1:11" x14ac:dyDescent="0.3">
      <c r="A38" s="39" t="s">
        <v>272</v>
      </c>
      <c r="B38" s="34">
        <v>1</v>
      </c>
      <c r="C38" s="34">
        <v>4</v>
      </c>
      <c r="D38" s="34">
        <v>130</v>
      </c>
      <c r="E38" s="35">
        <v>4</v>
      </c>
      <c r="F38" s="40">
        <f>((B38*C38*E38*'[1]Unit Conversions'!$C$8)+(B38*D38*E38*'[1]Unit Conversions'!$C$11))/1000</f>
        <v>0.55200000000000005</v>
      </c>
      <c r="G38" s="35" t="s">
        <v>266</v>
      </c>
      <c r="H38" s="40"/>
      <c r="I38" s="40"/>
      <c r="J38" s="40">
        <f>F38*'[1]Unit Conversions'!$C$2*('[1]Emission Factors'!$C$2+'[1]Emission Factors'!$C$4)/1000</f>
        <v>1.8643800000000001</v>
      </c>
      <c r="K38" s="40" t="s">
        <v>325</v>
      </c>
    </row>
    <row r="39" spans="1:11" x14ac:dyDescent="0.3">
      <c r="A39" s="42" t="s">
        <v>326</v>
      </c>
      <c r="B39" s="32">
        <v>2</v>
      </c>
      <c r="C39" s="32"/>
      <c r="D39" s="32">
        <v>130</v>
      </c>
      <c r="E39" s="36">
        <v>14</v>
      </c>
      <c r="F39" s="43">
        <f>(B39*D39*E39*'[1]Unit Conversions'!$C$12)/1000</f>
        <v>0.43680000000000002</v>
      </c>
      <c r="G39" s="33" t="s">
        <v>266</v>
      </c>
      <c r="H39" s="43"/>
      <c r="I39" s="43"/>
      <c r="J39" s="43">
        <f>(F39*'[1]Unit Conversions'!$C$2*'[1]Emission Factors'!$C$3/1000)+F39*'[1]Unit Conversions'!$C$2*'[1]Emission Factors'!$C$4/1000</f>
        <v>1.4752920000000005</v>
      </c>
      <c r="K39" s="43" t="s">
        <v>327</v>
      </c>
    </row>
    <row r="40" spans="1:11" x14ac:dyDescent="0.3">
      <c r="A40" s="39" t="s">
        <v>276</v>
      </c>
      <c r="B40" s="34">
        <v>1</v>
      </c>
      <c r="C40" s="34">
        <v>6</v>
      </c>
      <c r="D40" s="34"/>
      <c r="E40" s="35">
        <v>14</v>
      </c>
      <c r="F40" s="40">
        <f>(B40*C40*E40*'[1]Unit Conversions'!$C$8)/1000</f>
        <v>1.26</v>
      </c>
      <c r="G40" s="35" t="s">
        <v>266</v>
      </c>
      <c r="H40" s="40"/>
      <c r="I40" s="40"/>
      <c r="J40" s="40">
        <f>F40*'[1]Unit Conversions'!$C$2*('[1]Emission Factors'!$C$2+'[1]Emission Factors'!$C$4)/1000</f>
        <v>4.2556500000000002</v>
      </c>
      <c r="K40" s="40" t="s">
        <v>328</v>
      </c>
    </row>
    <row r="41" spans="1:11" x14ac:dyDescent="0.3">
      <c r="A41" s="42" t="s">
        <v>329</v>
      </c>
      <c r="B41" s="32">
        <v>12</v>
      </c>
      <c r="C41" s="32"/>
      <c r="D41" s="32">
        <v>1200</v>
      </c>
      <c r="E41" s="33">
        <v>1</v>
      </c>
      <c r="F41" s="43">
        <f>(B41*D41*'[1]Unit Conversions'!$C$11)/1000</f>
        <v>8.64</v>
      </c>
      <c r="G41" s="33" t="s">
        <v>266</v>
      </c>
      <c r="H41" s="43"/>
      <c r="I41" s="43"/>
      <c r="J41" s="43">
        <f>F41*'[1]Unit Conversions'!$C$2*('[1]Emission Factors'!$C$3+'[1]Emission Factors'!$C$4)/1000</f>
        <v>29.181600000000003</v>
      </c>
      <c r="K41" s="43" t="s">
        <v>330</v>
      </c>
    </row>
    <row r="42" spans="1:11" x14ac:dyDescent="0.3">
      <c r="A42" s="55" t="s">
        <v>331</v>
      </c>
      <c r="B42" s="56"/>
      <c r="C42" s="56"/>
      <c r="D42" s="56"/>
      <c r="E42" s="56"/>
      <c r="F42" s="56"/>
      <c r="G42" s="57"/>
      <c r="H42" s="58">
        <f>SUM(H3:H41)</f>
        <v>615.30255064000005</v>
      </c>
      <c r="I42" s="58">
        <f t="shared" ref="I42:J42" si="0">SUM(I3:I41)</f>
        <v>16433.760000000002</v>
      </c>
      <c r="J42" s="58">
        <f t="shared" si="0"/>
        <v>4546.1195833600004</v>
      </c>
      <c r="K42" s="59"/>
    </row>
  </sheetData>
  <pageMargins left="0.7" right="0.7" top="0.75" bottom="0.75" header="0.3" footer="0.3"/>
  <pageSetup paperSize="8"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9AF7E-6166-4E32-9183-DDA043CDEFA2}">
  <sheetPr>
    <pageSetUpPr fitToPage="1"/>
  </sheetPr>
  <dimension ref="A1:H41"/>
  <sheetViews>
    <sheetView workbookViewId="0">
      <selection activeCell="G13" sqref="G13"/>
    </sheetView>
  </sheetViews>
  <sheetFormatPr defaultRowHeight="16.5" x14ac:dyDescent="0.3"/>
  <cols>
    <col min="1" max="1" width="4.140625" style="5" bestFit="1" customWidth="1"/>
    <col min="2" max="2" width="25.5703125" style="5" bestFit="1" customWidth="1"/>
    <col min="3" max="3" width="45.5703125" style="5" bestFit="1" customWidth="1"/>
    <col min="4" max="4" width="34.28515625" style="5" bestFit="1" customWidth="1"/>
    <col min="5" max="5" width="7.42578125" style="5" bestFit="1" customWidth="1"/>
    <col min="6" max="6" width="17.28515625" style="5" bestFit="1" customWidth="1"/>
    <col min="7" max="7" width="69.7109375" style="5" bestFit="1" customWidth="1"/>
    <col min="8" max="8" width="23.42578125" style="5" bestFit="1" customWidth="1"/>
  </cols>
  <sheetData>
    <row r="1" spans="1:8" x14ac:dyDescent="0.25">
      <c r="A1" s="89" t="s">
        <v>400</v>
      </c>
      <c r="B1" s="89"/>
      <c r="C1" s="89"/>
      <c r="D1" s="89"/>
      <c r="E1" s="89"/>
      <c r="F1" s="89"/>
      <c r="G1" s="89"/>
      <c r="H1" s="89"/>
    </row>
    <row r="3" spans="1:8" ht="15" x14ac:dyDescent="0.25">
      <c r="A3" s="74" t="s">
        <v>401</v>
      </c>
      <c r="B3" s="74" t="s">
        <v>402</v>
      </c>
      <c r="C3" s="74" t="s">
        <v>403</v>
      </c>
      <c r="D3" s="74" t="s">
        <v>404</v>
      </c>
      <c r="E3" s="75" t="s">
        <v>405</v>
      </c>
      <c r="F3" s="75" t="s">
        <v>96</v>
      </c>
      <c r="G3" s="74" t="s">
        <v>406</v>
      </c>
      <c r="H3" s="76" t="s">
        <v>407</v>
      </c>
    </row>
    <row r="4" spans="1:8" ht="15" x14ac:dyDescent="0.25">
      <c r="A4" s="77" t="s">
        <v>408</v>
      </c>
      <c r="B4" s="77" t="s">
        <v>409</v>
      </c>
      <c r="C4" s="78" t="s">
        <v>410</v>
      </c>
      <c r="D4" s="78" t="s">
        <v>411</v>
      </c>
      <c r="E4" s="79"/>
      <c r="F4" s="79" t="s">
        <v>339</v>
      </c>
      <c r="G4" s="78" t="s">
        <v>412</v>
      </c>
      <c r="H4" s="78" t="s">
        <v>413</v>
      </c>
    </row>
    <row r="5" spans="1:8" ht="15" x14ac:dyDescent="0.25">
      <c r="A5" s="77"/>
      <c r="B5" s="77"/>
      <c r="C5" s="78" t="s">
        <v>414</v>
      </c>
      <c r="D5" s="78" t="s">
        <v>415</v>
      </c>
      <c r="E5" s="79"/>
      <c r="F5" s="79" t="s">
        <v>416</v>
      </c>
      <c r="G5" s="78" t="s">
        <v>417</v>
      </c>
      <c r="H5" s="78" t="s">
        <v>418</v>
      </c>
    </row>
    <row r="6" spans="1:8" ht="15" x14ac:dyDescent="0.25">
      <c r="A6" s="77"/>
      <c r="B6" s="77"/>
      <c r="C6" s="78" t="s">
        <v>419</v>
      </c>
      <c r="D6" s="78" t="s">
        <v>420</v>
      </c>
      <c r="E6" s="79"/>
      <c r="F6" s="79" t="s">
        <v>53</v>
      </c>
      <c r="G6" s="78" t="s">
        <v>421</v>
      </c>
      <c r="H6" s="78" t="s">
        <v>422</v>
      </c>
    </row>
    <row r="7" spans="1:8" ht="15" x14ac:dyDescent="0.25">
      <c r="A7" s="77"/>
      <c r="B7" s="77"/>
      <c r="C7" s="78" t="s">
        <v>423</v>
      </c>
      <c r="D7" s="78" t="s">
        <v>424</v>
      </c>
      <c r="E7" s="79"/>
      <c r="F7" s="79" t="s">
        <v>53</v>
      </c>
      <c r="G7" s="78" t="s">
        <v>425</v>
      </c>
      <c r="H7" s="78" t="s">
        <v>426</v>
      </c>
    </row>
    <row r="8" spans="1:8" ht="15" x14ac:dyDescent="0.25">
      <c r="A8" s="77"/>
      <c r="B8" s="77"/>
      <c r="C8" s="78" t="s">
        <v>427</v>
      </c>
      <c r="D8" s="78" t="s">
        <v>428</v>
      </c>
      <c r="E8" s="79"/>
      <c r="F8" s="79" t="s">
        <v>429</v>
      </c>
      <c r="G8" s="80" t="s">
        <v>430</v>
      </c>
      <c r="H8" s="78" t="s">
        <v>431</v>
      </c>
    </row>
    <row r="9" spans="1:8" ht="15" x14ac:dyDescent="0.25">
      <c r="A9" s="77" t="s">
        <v>432</v>
      </c>
      <c r="B9" s="77" t="s">
        <v>433</v>
      </c>
      <c r="C9" s="78" t="s">
        <v>106</v>
      </c>
      <c r="D9" s="78" t="s">
        <v>434</v>
      </c>
      <c r="E9" s="79"/>
      <c r="F9" s="79" t="s">
        <v>435</v>
      </c>
      <c r="G9" s="78" t="s">
        <v>436</v>
      </c>
      <c r="H9" s="78" t="s">
        <v>437</v>
      </c>
    </row>
    <row r="10" spans="1:8" ht="15" x14ac:dyDescent="0.25">
      <c r="A10" s="77"/>
      <c r="B10" s="77"/>
      <c r="C10" s="78" t="s">
        <v>438</v>
      </c>
      <c r="D10" s="78" t="s">
        <v>439</v>
      </c>
      <c r="E10" s="79"/>
      <c r="F10" s="79" t="s">
        <v>440</v>
      </c>
      <c r="G10" s="80" t="s">
        <v>441</v>
      </c>
      <c r="H10" s="78" t="s">
        <v>437</v>
      </c>
    </row>
    <row r="11" spans="1:8" ht="15" x14ac:dyDescent="0.25">
      <c r="A11" s="77"/>
      <c r="B11" s="77"/>
      <c r="C11" s="78" t="s">
        <v>442</v>
      </c>
      <c r="D11" s="78" t="s">
        <v>443</v>
      </c>
      <c r="E11" s="79"/>
      <c r="F11" s="79" t="s">
        <v>444</v>
      </c>
      <c r="G11" s="78" t="s">
        <v>445</v>
      </c>
      <c r="H11" s="81" t="s">
        <v>437</v>
      </c>
    </row>
    <row r="12" spans="1:8" ht="15" x14ac:dyDescent="0.25">
      <c r="A12" s="77"/>
      <c r="B12" s="77"/>
      <c r="C12" s="78" t="s">
        <v>446</v>
      </c>
      <c r="D12" s="78" t="s">
        <v>447</v>
      </c>
      <c r="E12" s="79"/>
      <c r="F12" s="79" t="s">
        <v>448</v>
      </c>
      <c r="G12" s="78" t="s">
        <v>449</v>
      </c>
      <c r="H12" s="78" t="s">
        <v>431</v>
      </c>
    </row>
    <row r="13" spans="1:8" ht="15" x14ac:dyDescent="0.25">
      <c r="A13" s="77" t="s">
        <v>450</v>
      </c>
      <c r="B13" s="77" t="s">
        <v>451</v>
      </c>
      <c r="C13" s="78" t="s">
        <v>452</v>
      </c>
      <c r="D13" s="78" t="s">
        <v>453</v>
      </c>
      <c r="E13" s="79"/>
      <c r="F13" s="79" t="s">
        <v>454</v>
      </c>
      <c r="G13" s="78" t="s">
        <v>455</v>
      </c>
      <c r="H13" s="78" t="s">
        <v>456</v>
      </c>
    </row>
    <row r="14" spans="1:8" ht="15" x14ac:dyDescent="0.25">
      <c r="A14" s="77"/>
      <c r="B14" s="77"/>
      <c r="C14" s="78" t="s">
        <v>457</v>
      </c>
      <c r="D14" s="78" t="s">
        <v>458</v>
      </c>
      <c r="E14" s="79"/>
      <c r="F14" s="79" t="s">
        <v>459</v>
      </c>
      <c r="G14" s="80" t="s">
        <v>460</v>
      </c>
      <c r="H14" s="78" t="s">
        <v>461</v>
      </c>
    </row>
    <row r="15" spans="1:8" ht="15" x14ac:dyDescent="0.25">
      <c r="A15" s="77"/>
      <c r="B15" s="77"/>
      <c r="C15" s="78" t="s">
        <v>462</v>
      </c>
      <c r="D15" s="78" t="s">
        <v>463</v>
      </c>
      <c r="E15" s="79"/>
      <c r="F15" s="79" t="s">
        <v>440</v>
      </c>
      <c r="G15" s="80" t="s">
        <v>209</v>
      </c>
      <c r="H15" s="78" t="s">
        <v>464</v>
      </c>
    </row>
    <row r="16" spans="1:8" ht="15" x14ac:dyDescent="0.25">
      <c r="A16" s="77"/>
      <c r="B16" s="77"/>
      <c r="C16" s="78" t="s">
        <v>465</v>
      </c>
      <c r="D16" s="78" t="s">
        <v>466</v>
      </c>
      <c r="E16" s="79"/>
      <c r="F16" s="79" t="s">
        <v>40</v>
      </c>
      <c r="G16" s="78" t="s">
        <v>467</v>
      </c>
      <c r="H16" s="78" t="s">
        <v>461</v>
      </c>
    </row>
    <row r="17" spans="1:8" ht="15" x14ac:dyDescent="0.25">
      <c r="A17" s="77" t="s">
        <v>468</v>
      </c>
      <c r="B17" s="77" t="s">
        <v>469</v>
      </c>
      <c r="C17" s="78" t="s">
        <v>470</v>
      </c>
      <c r="D17" s="78" t="s">
        <v>471</v>
      </c>
      <c r="E17" s="79"/>
      <c r="F17" s="79" t="s">
        <v>454</v>
      </c>
      <c r="G17" s="78" t="s">
        <v>29</v>
      </c>
      <c r="H17" s="78" t="s">
        <v>422</v>
      </c>
    </row>
    <row r="18" spans="1:8" ht="15" x14ac:dyDescent="0.25">
      <c r="A18" s="77"/>
      <c r="B18" s="77"/>
      <c r="C18" s="78" t="s">
        <v>472</v>
      </c>
      <c r="D18" s="78" t="s">
        <v>473</v>
      </c>
      <c r="E18" s="79"/>
      <c r="F18" s="79" t="s">
        <v>474</v>
      </c>
      <c r="G18" s="80" t="s">
        <v>475</v>
      </c>
      <c r="H18" s="78" t="s">
        <v>476</v>
      </c>
    </row>
    <row r="19" spans="1:8" ht="15" x14ac:dyDescent="0.25">
      <c r="A19" s="77"/>
      <c r="B19" s="77"/>
      <c r="C19" s="78" t="s">
        <v>477</v>
      </c>
      <c r="D19" s="78" t="s">
        <v>478</v>
      </c>
      <c r="E19" s="79"/>
      <c r="F19" s="79" t="s">
        <v>474</v>
      </c>
      <c r="G19" s="78" t="s">
        <v>449</v>
      </c>
      <c r="H19" s="78" t="s">
        <v>476</v>
      </c>
    </row>
    <row r="20" spans="1:8" ht="15" x14ac:dyDescent="0.25">
      <c r="A20" s="77"/>
      <c r="B20" s="77"/>
      <c r="C20" s="78" t="s">
        <v>479</v>
      </c>
      <c r="D20" s="78" t="s">
        <v>480</v>
      </c>
      <c r="E20" s="79"/>
      <c r="F20" s="79" t="s">
        <v>481</v>
      </c>
      <c r="G20" s="78" t="s">
        <v>449</v>
      </c>
      <c r="H20" s="78" t="s">
        <v>476</v>
      </c>
    </row>
    <row r="21" spans="1:8" ht="15" x14ac:dyDescent="0.25">
      <c r="A21" s="77"/>
      <c r="B21" s="77"/>
      <c r="C21" s="78" t="s">
        <v>482</v>
      </c>
      <c r="D21" s="78" t="s">
        <v>483</v>
      </c>
      <c r="E21" s="79"/>
      <c r="F21" s="79" t="s">
        <v>53</v>
      </c>
      <c r="G21" s="78" t="s">
        <v>449</v>
      </c>
      <c r="H21" s="78" t="s">
        <v>418</v>
      </c>
    </row>
    <row r="22" spans="1:8" ht="15" x14ac:dyDescent="0.25">
      <c r="A22" s="77" t="s">
        <v>484</v>
      </c>
      <c r="B22" s="77" t="s">
        <v>485</v>
      </c>
      <c r="C22" s="78" t="s">
        <v>486</v>
      </c>
      <c r="D22" s="78" t="s">
        <v>487</v>
      </c>
      <c r="E22" s="79"/>
      <c r="F22" s="79" t="s">
        <v>53</v>
      </c>
      <c r="G22" s="80" t="s">
        <v>558</v>
      </c>
      <c r="H22" s="78" t="s">
        <v>422</v>
      </c>
    </row>
    <row r="23" spans="1:8" ht="15" x14ac:dyDescent="0.25">
      <c r="A23" s="77"/>
      <c r="B23" s="77"/>
      <c r="C23" s="78" t="s">
        <v>488</v>
      </c>
      <c r="D23" s="78" t="s">
        <v>489</v>
      </c>
      <c r="E23" s="79"/>
      <c r="F23" s="79" t="s">
        <v>490</v>
      </c>
      <c r="G23" s="80" t="s">
        <v>491</v>
      </c>
      <c r="H23" s="78" t="s">
        <v>492</v>
      </c>
    </row>
    <row r="24" spans="1:8" ht="15" x14ac:dyDescent="0.25">
      <c r="A24" s="77" t="s">
        <v>493</v>
      </c>
      <c r="B24" s="77" t="s">
        <v>494</v>
      </c>
      <c r="C24" s="78" t="s">
        <v>495</v>
      </c>
      <c r="D24" s="78" t="s">
        <v>496</v>
      </c>
      <c r="E24" s="79"/>
      <c r="F24" s="79" t="s">
        <v>454</v>
      </c>
      <c r="G24" s="80" t="s">
        <v>497</v>
      </c>
      <c r="H24" s="78" t="s">
        <v>422</v>
      </c>
    </row>
    <row r="25" spans="1:8" ht="15" x14ac:dyDescent="0.25">
      <c r="A25" s="77"/>
      <c r="B25" s="77"/>
      <c r="C25" s="78" t="s">
        <v>498</v>
      </c>
      <c r="D25" s="78" t="s">
        <v>498</v>
      </c>
      <c r="E25" s="79"/>
      <c r="F25" s="79" t="s">
        <v>499</v>
      </c>
      <c r="G25" s="78" t="s">
        <v>449</v>
      </c>
      <c r="H25" s="78" t="s">
        <v>500</v>
      </c>
    </row>
    <row r="26" spans="1:8" ht="15" x14ac:dyDescent="0.25">
      <c r="A26" s="77"/>
      <c r="B26" s="77"/>
      <c r="C26" s="78" t="s">
        <v>501</v>
      </c>
      <c r="D26" s="78" t="s">
        <v>502</v>
      </c>
      <c r="E26" s="79"/>
      <c r="F26" s="79" t="s">
        <v>503</v>
      </c>
      <c r="G26" s="78" t="s">
        <v>449</v>
      </c>
      <c r="H26" s="78" t="s">
        <v>504</v>
      </c>
    </row>
    <row r="27" spans="1:8" ht="15" x14ac:dyDescent="0.25">
      <c r="A27" s="77"/>
      <c r="B27" s="77"/>
      <c r="C27" s="78" t="s">
        <v>505</v>
      </c>
      <c r="D27" s="78" t="s">
        <v>506</v>
      </c>
      <c r="E27" s="79"/>
      <c r="F27" s="79" t="s">
        <v>53</v>
      </c>
      <c r="G27" s="78" t="s">
        <v>449</v>
      </c>
      <c r="H27" s="78" t="s">
        <v>507</v>
      </c>
    </row>
    <row r="28" spans="1:8" ht="25.5" x14ac:dyDescent="0.25">
      <c r="A28" s="77" t="s">
        <v>508</v>
      </c>
      <c r="B28" s="77" t="s">
        <v>509</v>
      </c>
      <c r="C28" s="78" t="s">
        <v>510</v>
      </c>
      <c r="D28" s="78" t="s">
        <v>511</v>
      </c>
      <c r="E28" s="79"/>
      <c r="F28" s="79" t="s">
        <v>454</v>
      </c>
      <c r="G28" s="80" t="s">
        <v>512</v>
      </c>
      <c r="H28" s="78" t="s">
        <v>422</v>
      </c>
    </row>
    <row r="29" spans="1:8" ht="15" x14ac:dyDescent="0.25">
      <c r="A29" s="77"/>
      <c r="B29" s="77"/>
      <c r="C29" s="78" t="s">
        <v>513</v>
      </c>
      <c r="D29" s="78" t="s">
        <v>514</v>
      </c>
      <c r="E29" s="79"/>
      <c r="F29" s="79" t="s">
        <v>515</v>
      </c>
      <c r="G29" s="78" t="s">
        <v>449</v>
      </c>
      <c r="H29" s="78" t="s">
        <v>516</v>
      </c>
    </row>
    <row r="30" spans="1:8" ht="15" x14ac:dyDescent="0.25">
      <c r="A30" s="77"/>
      <c r="B30" s="77"/>
      <c r="C30" s="78" t="s">
        <v>517</v>
      </c>
      <c r="D30" s="78" t="s">
        <v>518</v>
      </c>
      <c r="E30" s="79"/>
      <c r="F30" s="79" t="s">
        <v>519</v>
      </c>
      <c r="G30" s="78" t="s">
        <v>449</v>
      </c>
      <c r="H30" s="78" t="s">
        <v>516</v>
      </c>
    </row>
    <row r="31" spans="1:8" ht="15" x14ac:dyDescent="0.25">
      <c r="A31" s="77"/>
      <c r="B31" s="77"/>
      <c r="C31" s="78" t="s">
        <v>520</v>
      </c>
      <c r="D31" s="78" t="s">
        <v>521</v>
      </c>
      <c r="E31" s="79"/>
      <c r="F31" s="79" t="s">
        <v>444</v>
      </c>
      <c r="G31" s="78" t="s">
        <v>449</v>
      </c>
      <c r="H31" s="78" t="s">
        <v>516</v>
      </c>
    </row>
    <row r="32" spans="1:8" ht="15" x14ac:dyDescent="0.25">
      <c r="A32" s="77"/>
      <c r="B32" s="77"/>
      <c r="C32" s="78" t="s">
        <v>522</v>
      </c>
      <c r="D32" s="78" t="s">
        <v>523</v>
      </c>
      <c r="E32" s="79"/>
      <c r="F32" s="79" t="s">
        <v>53</v>
      </c>
      <c r="G32" s="78" t="s">
        <v>449</v>
      </c>
      <c r="H32" s="78" t="s">
        <v>524</v>
      </c>
    </row>
    <row r="33" spans="1:8" ht="15" x14ac:dyDescent="0.25">
      <c r="A33" s="77" t="s">
        <v>525</v>
      </c>
      <c r="B33" s="77" t="s">
        <v>526</v>
      </c>
      <c r="C33" s="78" t="s">
        <v>527</v>
      </c>
      <c r="D33" s="78" t="s">
        <v>528</v>
      </c>
      <c r="E33" s="79"/>
      <c r="F33" s="79" t="s">
        <v>123</v>
      </c>
      <c r="G33" s="80" t="s">
        <v>529</v>
      </c>
      <c r="H33" s="78" t="s">
        <v>530</v>
      </c>
    </row>
    <row r="34" spans="1:8" ht="15" x14ac:dyDescent="0.25">
      <c r="A34" s="77"/>
      <c r="B34" s="77"/>
      <c r="C34" s="78" t="s">
        <v>531</v>
      </c>
      <c r="D34" s="78" t="s">
        <v>531</v>
      </c>
      <c r="E34" s="79"/>
      <c r="F34" s="79" t="s">
        <v>61</v>
      </c>
      <c r="G34" s="78" t="s">
        <v>532</v>
      </c>
      <c r="H34" s="78" t="s">
        <v>530</v>
      </c>
    </row>
    <row r="35" spans="1:8" ht="15" x14ac:dyDescent="0.25">
      <c r="A35" s="77"/>
      <c r="B35" s="77"/>
      <c r="C35" s="78" t="s">
        <v>533</v>
      </c>
      <c r="D35" s="78" t="s">
        <v>463</v>
      </c>
      <c r="E35" s="79"/>
      <c r="F35" s="79" t="s">
        <v>440</v>
      </c>
      <c r="G35" s="80" t="s">
        <v>534</v>
      </c>
      <c r="H35" s="78" t="s">
        <v>535</v>
      </c>
    </row>
    <row r="36" spans="1:8" ht="15" x14ac:dyDescent="0.25">
      <c r="A36" s="77"/>
      <c r="B36" s="77"/>
      <c r="C36" s="78" t="s">
        <v>536</v>
      </c>
      <c r="D36" s="78" t="s">
        <v>537</v>
      </c>
      <c r="E36" s="79"/>
      <c r="F36" s="79" t="s">
        <v>444</v>
      </c>
      <c r="G36" s="78" t="s">
        <v>538</v>
      </c>
      <c r="H36" s="78" t="s">
        <v>535</v>
      </c>
    </row>
    <row r="37" spans="1:8" ht="15" x14ac:dyDescent="0.25">
      <c r="A37" s="77" t="s">
        <v>539</v>
      </c>
      <c r="B37" s="77" t="s">
        <v>540</v>
      </c>
      <c r="C37" s="78" t="s">
        <v>541</v>
      </c>
      <c r="D37" s="78" t="s">
        <v>542</v>
      </c>
      <c r="E37" s="79"/>
      <c r="F37" s="79" t="s">
        <v>519</v>
      </c>
      <c r="G37" s="80" t="s">
        <v>543</v>
      </c>
      <c r="H37" s="78" t="s">
        <v>544</v>
      </c>
    </row>
    <row r="38" spans="1:8" ht="15" x14ac:dyDescent="0.25">
      <c r="A38" s="77"/>
      <c r="B38" s="77"/>
      <c r="C38" s="78" t="s">
        <v>545</v>
      </c>
      <c r="D38" s="78" t="s">
        <v>545</v>
      </c>
      <c r="E38" s="79"/>
      <c r="F38" s="79" t="s">
        <v>90</v>
      </c>
      <c r="G38" s="82">
        <v>50.4</v>
      </c>
      <c r="H38" s="78" t="s">
        <v>546</v>
      </c>
    </row>
    <row r="39" spans="1:8" ht="15" x14ac:dyDescent="0.25">
      <c r="A39" s="77"/>
      <c r="B39" s="77"/>
      <c r="C39" s="78" t="s">
        <v>547</v>
      </c>
      <c r="D39" s="78" t="s">
        <v>548</v>
      </c>
      <c r="E39" s="79"/>
      <c r="F39" s="79" t="s">
        <v>53</v>
      </c>
      <c r="G39" s="80" t="s">
        <v>549</v>
      </c>
      <c r="H39" s="78" t="s">
        <v>550</v>
      </c>
    </row>
    <row r="40" spans="1:8" ht="15" x14ac:dyDescent="0.25">
      <c r="A40" s="77"/>
      <c r="B40" s="77"/>
      <c r="C40" s="78" t="s">
        <v>551</v>
      </c>
      <c r="D40" s="78" t="s">
        <v>552</v>
      </c>
      <c r="E40" s="79"/>
      <c r="F40" s="79" t="s">
        <v>75</v>
      </c>
      <c r="G40" s="80" t="s">
        <v>553</v>
      </c>
      <c r="H40" s="78" t="s">
        <v>550</v>
      </c>
    </row>
    <row r="41" spans="1:8" ht="38.25" x14ac:dyDescent="0.25">
      <c r="A41" s="77"/>
      <c r="B41" s="77"/>
      <c r="C41" s="78" t="s">
        <v>554</v>
      </c>
      <c r="D41" s="78" t="s">
        <v>555</v>
      </c>
      <c r="E41" s="79"/>
      <c r="F41" s="79" t="s">
        <v>53</v>
      </c>
      <c r="G41" s="80" t="s">
        <v>556</v>
      </c>
      <c r="H41" s="78" t="s">
        <v>557</v>
      </c>
    </row>
  </sheetData>
  <mergeCells count="1">
    <mergeCell ref="A1:H1"/>
  </mergeCells>
  <pageMargins left="0.7" right="0.7" top="0.75" bottom="0.75" header="0.3" footer="0.3"/>
  <pageSetup paperSize="8"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7"/>
  <sheetViews>
    <sheetView showGridLines="0" zoomScaleNormal="100" workbookViewId="0">
      <pane ySplit="1" topLeftCell="A2" activePane="bottomLeft" state="frozen"/>
      <selection pane="bottomLeft" activeCell="A25" sqref="A25"/>
    </sheetView>
  </sheetViews>
  <sheetFormatPr defaultRowHeight="16.5" x14ac:dyDescent="0.3"/>
  <cols>
    <col min="1" max="1" width="46.7109375" style="5" bestFit="1" customWidth="1"/>
    <col min="2" max="2" width="11.42578125" style="62" bestFit="1" customWidth="1"/>
    <col min="3" max="3" width="22.42578125" style="5" customWidth="1"/>
    <col min="4" max="4" width="107.85546875" style="5" bestFit="1" customWidth="1"/>
    <col min="5" max="5" width="57.7109375" style="5" bestFit="1" customWidth="1"/>
  </cols>
  <sheetData>
    <row r="1" spans="1:5" s="65" customFormat="1" x14ac:dyDescent="0.25">
      <c r="A1" s="63" t="s">
        <v>94</v>
      </c>
      <c r="B1" s="64" t="s">
        <v>95</v>
      </c>
      <c r="C1" s="71" t="s">
        <v>96</v>
      </c>
      <c r="D1" s="71" t="s">
        <v>210</v>
      </c>
      <c r="E1" s="71" t="s">
        <v>97</v>
      </c>
    </row>
    <row r="2" spans="1:5" x14ac:dyDescent="0.25">
      <c r="A2" s="23" t="s">
        <v>99</v>
      </c>
      <c r="B2" s="60">
        <v>360</v>
      </c>
      <c r="C2" s="23" t="s">
        <v>32</v>
      </c>
      <c r="D2" s="23" t="s">
        <v>243</v>
      </c>
      <c r="E2" s="23" t="s">
        <v>335</v>
      </c>
    </row>
    <row r="3" spans="1:5" x14ac:dyDescent="0.25">
      <c r="A3" s="23" t="s">
        <v>102</v>
      </c>
      <c r="B3" s="60">
        <v>24</v>
      </c>
      <c r="C3" s="23" t="s">
        <v>103</v>
      </c>
      <c r="D3" s="23" t="s">
        <v>105</v>
      </c>
      <c r="E3" s="23" t="s">
        <v>104</v>
      </c>
    </row>
    <row r="4" spans="1:5" x14ac:dyDescent="0.25">
      <c r="A4" s="23" t="s">
        <v>352</v>
      </c>
      <c r="B4" s="60">
        <f>B2/7</f>
        <v>51.428571428571431</v>
      </c>
      <c r="C4" s="23" t="s">
        <v>353</v>
      </c>
      <c r="D4" s="23" t="s">
        <v>354</v>
      </c>
      <c r="E4" s="23" t="s">
        <v>101</v>
      </c>
    </row>
    <row r="5" spans="1:5" x14ac:dyDescent="0.3">
      <c r="A5" s="23" t="s">
        <v>337</v>
      </c>
      <c r="B5" s="60">
        <v>0.71679999999999999</v>
      </c>
      <c r="C5" s="23" t="s">
        <v>336</v>
      </c>
      <c r="D5" s="72" t="s">
        <v>357</v>
      </c>
      <c r="E5" s="23" t="s">
        <v>160</v>
      </c>
    </row>
    <row r="6" spans="1:5" x14ac:dyDescent="0.25">
      <c r="A6" s="23" t="s">
        <v>236</v>
      </c>
      <c r="B6" s="60">
        <f>365*2*4*B5/1000</f>
        <v>2.0930560000000002</v>
      </c>
      <c r="C6" s="23" t="s">
        <v>57</v>
      </c>
      <c r="D6" s="23" t="s">
        <v>334</v>
      </c>
      <c r="E6" s="23" t="s">
        <v>160</v>
      </c>
    </row>
    <row r="7" spans="1:5" x14ac:dyDescent="0.25">
      <c r="A7" s="23" t="s">
        <v>161</v>
      </c>
      <c r="B7" s="60">
        <f>4*4*20/24</f>
        <v>13.333333333333334</v>
      </c>
      <c r="C7" s="23" t="s">
        <v>37</v>
      </c>
      <c r="D7" s="23" t="s">
        <v>340</v>
      </c>
      <c r="E7" s="23" t="s">
        <v>162</v>
      </c>
    </row>
    <row r="8" spans="1:5" x14ac:dyDescent="0.25">
      <c r="A8" s="23" t="s">
        <v>100</v>
      </c>
      <c r="B8" s="60">
        <v>5</v>
      </c>
      <c r="C8" s="23" t="s">
        <v>32</v>
      </c>
      <c r="D8" s="23" t="s">
        <v>244</v>
      </c>
      <c r="E8" s="23" t="s">
        <v>359</v>
      </c>
    </row>
    <row r="9" spans="1:5" x14ac:dyDescent="0.25">
      <c r="A9" s="23" t="s">
        <v>211</v>
      </c>
      <c r="B9" s="61">
        <v>3.5999999999999999E-3</v>
      </c>
      <c r="C9" s="23" t="s">
        <v>59</v>
      </c>
      <c r="D9" s="73" t="s">
        <v>358</v>
      </c>
      <c r="E9" s="23" t="s">
        <v>359</v>
      </c>
    </row>
    <row r="10" spans="1:5" x14ac:dyDescent="0.25">
      <c r="A10" s="23" t="s">
        <v>106</v>
      </c>
      <c r="B10" s="60">
        <v>70</v>
      </c>
      <c r="C10" s="23" t="s">
        <v>107</v>
      </c>
      <c r="D10" s="23" t="s">
        <v>225</v>
      </c>
      <c r="E10" s="23" t="s">
        <v>359</v>
      </c>
    </row>
    <row r="11" spans="1:5" x14ac:dyDescent="0.25">
      <c r="A11" s="23" t="s">
        <v>108</v>
      </c>
      <c r="B11" s="60">
        <v>0.95</v>
      </c>
      <c r="C11" s="23" t="s">
        <v>109</v>
      </c>
      <c r="D11" s="23" t="s">
        <v>226</v>
      </c>
      <c r="E11" s="23" t="s">
        <v>110</v>
      </c>
    </row>
    <row r="12" spans="1:5" x14ac:dyDescent="0.25">
      <c r="A12" s="23" t="s">
        <v>111</v>
      </c>
      <c r="B12" s="60">
        <v>0.98</v>
      </c>
      <c r="C12" s="23" t="s">
        <v>109</v>
      </c>
      <c r="D12" s="23" t="s">
        <v>227</v>
      </c>
      <c r="E12" s="23" t="s">
        <v>112</v>
      </c>
    </row>
    <row r="13" spans="1:5" x14ac:dyDescent="0.25">
      <c r="A13" s="23" t="s">
        <v>26</v>
      </c>
      <c r="B13" s="60">
        <f>100*B4/1000</f>
        <v>5.1428571428571432</v>
      </c>
      <c r="C13" s="23" t="s">
        <v>27</v>
      </c>
      <c r="D13" s="23" t="s">
        <v>355</v>
      </c>
      <c r="E13" s="23" t="s">
        <v>113</v>
      </c>
    </row>
    <row r="14" spans="1:5" x14ac:dyDescent="0.25">
      <c r="A14" s="23" t="s">
        <v>30</v>
      </c>
      <c r="B14" s="60">
        <v>0.11</v>
      </c>
      <c r="C14" s="23" t="s">
        <v>31</v>
      </c>
      <c r="D14" s="23" t="s">
        <v>115</v>
      </c>
      <c r="E14" s="23" t="s">
        <v>114</v>
      </c>
    </row>
    <row r="15" spans="1:5" x14ac:dyDescent="0.25">
      <c r="A15" s="23" t="s">
        <v>34</v>
      </c>
      <c r="B15" s="60">
        <v>0.7</v>
      </c>
      <c r="C15" s="23" t="s">
        <v>35</v>
      </c>
      <c r="D15" s="23" t="s">
        <v>117</v>
      </c>
      <c r="E15" s="23" t="s">
        <v>116</v>
      </c>
    </row>
    <row r="16" spans="1:5" x14ac:dyDescent="0.25">
      <c r="A16" s="23" t="s">
        <v>118</v>
      </c>
      <c r="B16" s="60">
        <v>1000</v>
      </c>
      <c r="C16" s="23" t="s">
        <v>126</v>
      </c>
      <c r="D16" s="23" t="s">
        <v>229</v>
      </c>
      <c r="E16" s="23" t="s">
        <v>119</v>
      </c>
    </row>
    <row r="17" spans="1:5" x14ac:dyDescent="0.25">
      <c r="A17" s="23" t="s">
        <v>118</v>
      </c>
      <c r="B17" s="60">
        <f>B3*B2</f>
        <v>8640</v>
      </c>
      <c r="C17" s="23" t="s">
        <v>44</v>
      </c>
      <c r="D17" s="23" t="s">
        <v>350</v>
      </c>
      <c r="E17" s="23" t="s">
        <v>119</v>
      </c>
    </row>
    <row r="18" spans="1:5" x14ac:dyDescent="0.25">
      <c r="A18" s="23" t="s">
        <v>118</v>
      </c>
      <c r="B18" s="60">
        <v>977</v>
      </c>
      <c r="C18" s="23" t="s">
        <v>126</v>
      </c>
      <c r="D18" s="23" t="s">
        <v>207</v>
      </c>
      <c r="E18" s="23" t="s">
        <v>119</v>
      </c>
    </row>
    <row r="19" spans="1:5" x14ac:dyDescent="0.25">
      <c r="A19" s="23" t="s">
        <v>118</v>
      </c>
      <c r="B19" s="60">
        <v>2381</v>
      </c>
      <c r="C19" s="23" t="s">
        <v>208</v>
      </c>
      <c r="D19" s="23" t="s">
        <v>207</v>
      </c>
      <c r="E19" s="23" t="s">
        <v>119</v>
      </c>
    </row>
    <row r="20" spans="1:5" x14ac:dyDescent="0.25">
      <c r="A20" s="23" t="s">
        <v>118</v>
      </c>
      <c r="B20" s="60">
        <v>1466</v>
      </c>
      <c r="C20" s="23" t="s">
        <v>126</v>
      </c>
      <c r="D20" s="23" t="s">
        <v>207</v>
      </c>
      <c r="E20" s="23" t="s">
        <v>119</v>
      </c>
    </row>
    <row r="21" spans="1:5" x14ac:dyDescent="0.25">
      <c r="A21" s="23" t="s">
        <v>118</v>
      </c>
      <c r="B21" s="60">
        <v>3418</v>
      </c>
      <c r="C21" s="23" t="s">
        <v>208</v>
      </c>
      <c r="D21" s="23" t="s">
        <v>207</v>
      </c>
      <c r="E21" s="23" t="s">
        <v>119</v>
      </c>
    </row>
    <row r="22" spans="1:5" x14ac:dyDescent="0.25">
      <c r="A22" s="23" t="s">
        <v>118</v>
      </c>
      <c r="B22" s="60">
        <f>B19+(B16-B18)*(B21-B19)/(B20-B18)</f>
        <v>2429.7750511247446</v>
      </c>
      <c r="C22" s="23" t="s">
        <v>208</v>
      </c>
      <c r="D22" s="23" t="s">
        <v>351</v>
      </c>
      <c r="E22" s="23" t="s">
        <v>119</v>
      </c>
    </row>
    <row r="23" spans="1:5" x14ac:dyDescent="0.25">
      <c r="A23" s="23" t="s">
        <v>120</v>
      </c>
      <c r="B23" s="60">
        <f>3*130*360*B28/1000</f>
        <v>16.847999999999999</v>
      </c>
      <c r="C23" s="23" t="s">
        <v>70</v>
      </c>
      <c r="D23" s="23" t="s">
        <v>360</v>
      </c>
      <c r="E23" s="23" t="s">
        <v>121</v>
      </c>
    </row>
    <row r="24" spans="1:5" x14ac:dyDescent="0.25">
      <c r="A24" s="23" t="s">
        <v>361</v>
      </c>
      <c r="B24" s="60">
        <v>15</v>
      </c>
      <c r="C24" s="23" t="s">
        <v>367</v>
      </c>
      <c r="D24" s="23" t="s">
        <v>369</v>
      </c>
      <c r="E24" s="23" t="s">
        <v>121</v>
      </c>
    </row>
    <row r="25" spans="1:5" x14ac:dyDescent="0.25">
      <c r="A25" s="23" t="s">
        <v>362</v>
      </c>
      <c r="B25" s="60">
        <v>30</v>
      </c>
      <c r="C25" s="23" t="s">
        <v>367</v>
      </c>
      <c r="D25" s="23" t="s">
        <v>370</v>
      </c>
      <c r="E25" s="23" t="s">
        <v>121</v>
      </c>
    </row>
    <row r="26" spans="1:5" x14ac:dyDescent="0.25">
      <c r="A26" s="23" t="s">
        <v>363</v>
      </c>
      <c r="B26" s="60">
        <v>10</v>
      </c>
      <c r="C26" s="23" t="s">
        <v>367</v>
      </c>
      <c r="D26" s="23" t="s">
        <v>371</v>
      </c>
      <c r="E26" s="23" t="s">
        <v>121</v>
      </c>
    </row>
    <row r="27" spans="1:5" x14ac:dyDescent="0.25">
      <c r="A27" s="23" t="s">
        <v>364</v>
      </c>
      <c r="B27" s="60">
        <v>0.6</v>
      </c>
      <c r="C27" s="23" t="s">
        <v>76</v>
      </c>
      <c r="D27" s="23" t="s">
        <v>372</v>
      </c>
      <c r="E27" s="23" t="s">
        <v>121</v>
      </c>
    </row>
    <row r="28" spans="1:5" x14ac:dyDescent="0.25">
      <c r="A28" s="23" t="s">
        <v>365</v>
      </c>
      <c r="B28" s="60">
        <v>0.12</v>
      </c>
      <c r="C28" s="23" t="s">
        <v>76</v>
      </c>
      <c r="D28" s="23" t="s">
        <v>373</v>
      </c>
      <c r="E28" s="23" t="s">
        <v>121</v>
      </c>
    </row>
    <row r="29" spans="1:5" x14ac:dyDescent="0.25">
      <c r="A29" s="23" t="s">
        <v>366</v>
      </c>
      <c r="B29" s="60">
        <v>54.4</v>
      </c>
      <c r="C29" s="23" t="s">
        <v>368</v>
      </c>
      <c r="D29" s="23" t="s">
        <v>374</v>
      </c>
      <c r="E29" s="23"/>
    </row>
    <row r="30" spans="1:5" x14ac:dyDescent="0.25">
      <c r="A30" s="23" t="s">
        <v>122</v>
      </c>
      <c r="B30" s="60">
        <v>1.8</v>
      </c>
      <c r="C30" s="23" t="s">
        <v>123</v>
      </c>
      <c r="D30" s="23" t="s">
        <v>228</v>
      </c>
      <c r="E30" s="23" t="s">
        <v>124</v>
      </c>
    </row>
    <row r="31" spans="1:5" x14ac:dyDescent="0.25">
      <c r="A31" s="23" t="s">
        <v>125</v>
      </c>
      <c r="B31" s="60">
        <v>300</v>
      </c>
      <c r="C31" s="23" t="s">
        <v>126</v>
      </c>
      <c r="D31" s="23" t="s">
        <v>128</v>
      </c>
      <c r="E31" s="23" t="s">
        <v>127</v>
      </c>
    </row>
    <row r="32" spans="1:5" x14ac:dyDescent="0.25">
      <c r="A32" s="23" t="s">
        <v>129</v>
      </c>
      <c r="B32" s="60">
        <v>10</v>
      </c>
      <c r="C32" s="23" t="s">
        <v>130</v>
      </c>
      <c r="D32" s="23" t="s">
        <v>131</v>
      </c>
      <c r="E32" s="23" t="s">
        <v>127</v>
      </c>
    </row>
    <row r="33" spans="1:5" x14ac:dyDescent="0.25">
      <c r="A33" s="23" t="s">
        <v>132</v>
      </c>
      <c r="B33" s="60">
        <v>12</v>
      </c>
      <c r="C33" s="23" t="s">
        <v>133</v>
      </c>
      <c r="D33" s="23" t="s">
        <v>134</v>
      </c>
      <c r="E33" s="23" t="s">
        <v>127</v>
      </c>
    </row>
    <row r="34" spans="1:5" x14ac:dyDescent="0.25">
      <c r="A34" s="23" t="s">
        <v>135</v>
      </c>
      <c r="B34" s="60">
        <v>38.6</v>
      </c>
      <c r="C34" s="23" t="s">
        <v>50</v>
      </c>
      <c r="D34" s="23" t="s">
        <v>386</v>
      </c>
      <c r="E34" s="23" t="s">
        <v>136</v>
      </c>
    </row>
    <row r="35" spans="1:5" x14ac:dyDescent="0.25">
      <c r="A35" s="23" t="s">
        <v>138</v>
      </c>
      <c r="B35" s="60">
        <v>70</v>
      </c>
      <c r="C35" s="23" t="s">
        <v>139</v>
      </c>
      <c r="D35" s="23" t="s">
        <v>375</v>
      </c>
      <c r="E35" s="23" t="s">
        <v>140</v>
      </c>
    </row>
    <row r="36" spans="1:5" x14ac:dyDescent="0.25">
      <c r="A36" s="23" t="s">
        <v>141</v>
      </c>
      <c r="B36" s="60">
        <v>50.4</v>
      </c>
      <c r="C36" s="23" t="s">
        <v>90</v>
      </c>
      <c r="D36" s="23" t="s">
        <v>376</v>
      </c>
      <c r="E36" s="23" t="s">
        <v>140</v>
      </c>
    </row>
    <row r="37" spans="1:5" x14ac:dyDescent="0.25">
      <c r="A37" s="23" t="s">
        <v>142</v>
      </c>
      <c r="B37" s="60">
        <v>54.4</v>
      </c>
      <c r="C37" s="23" t="s">
        <v>90</v>
      </c>
      <c r="D37" s="23" t="s">
        <v>144</v>
      </c>
      <c r="E37" s="23" t="s">
        <v>143</v>
      </c>
    </row>
    <row r="38" spans="1:5" x14ac:dyDescent="0.25">
      <c r="A38" s="23" t="s">
        <v>145</v>
      </c>
      <c r="B38" s="60">
        <v>2</v>
      </c>
      <c r="C38" s="23" t="s">
        <v>83</v>
      </c>
      <c r="D38" s="23" t="s">
        <v>377</v>
      </c>
      <c r="E38" s="23" t="s">
        <v>146</v>
      </c>
    </row>
    <row r="39" spans="1:5" x14ac:dyDescent="0.25">
      <c r="A39" s="23" t="s">
        <v>147</v>
      </c>
      <c r="B39" s="60">
        <v>880</v>
      </c>
      <c r="C39" s="23" t="s">
        <v>87</v>
      </c>
      <c r="D39" s="23" t="s">
        <v>378</v>
      </c>
      <c r="E39" s="23" t="s">
        <v>146</v>
      </c>
    </row>
    <row r="40" spans="1:5" x14ac:dyDescent="0.25">
      <c r="A40" s="23" t="s">
        <v>148</v>
      </c>
      <c r="B40" s="60">
        <v>0.6</v>
      </c>
      <c r="C40" s="23" t="s">
        <v>76</v>
      </c>
      <c r="D40" s="23" t="s">
        <v>379</v>
      </c>
      <c r="E40" s="23" t="s">
        <v>149</v>
      </c>
    </row>
    <row r="41" spans="1:5" x14ac:dyDescent="0.25">
      <c r="A41" s="23" t="s">
        <v>150</v>
      </c>
      <c r="B41" s="60">
        <v>0.12</v>
      </c>
      <c r="C41" s="23" t="s">
        <v>76</v>
      </c>
      <c r="D41" s="23" t="s">
        <v>380</v>
      </c>
      <c r="E41" s="23" t="s">
        <v>151</v>
      </c>
    </row>
    <row r="42" spans="1:5" x14ac:dyDescent="0.25">
      <c r="A42" s="23" t="s">
        <v>152</v>
      </c>
      <c r="B42" s="60">
        <v>10</v>
      </c>
      <c r="C42" s="23" t="s">
        <v>45</v>
      </c>
      <c r="D42" s="23" t="s">
        <v>381</v>
      </c>
      <c r="E42" s="23" t="s">
        <v>153</v>
      </c>
    </row>
    <row r="43" spans="1:5" x14ac:dyDescent="0.25">
      <c r="A43" s="23" t="s">
        <v>154</v>
      </c>
      <c r="B43" s="60">
        <v>15</v>
      </c>
      <c r="C43" s="23" t="s">
        <v>45</v>
      </c>
      <c r="D43" s="23" t="s">
        <v>382</v>
      </c>
      <c r="E43" s="23" t="s">
        <v>155</v>
      </c>
    </row>
    <row r="44" spans="1:5" x14ac:dyDescent="0.25">
      <c r="A44" s="23" t="s">
        <v>156</v>
      </c>
      <c r="B44" s="60">
        <v>30</v>
      </c>
      <c r="C44" s="23" t="s">
        <v>45</v>
      </c>
      <c r="D44" s="23" t="s">
        <v>383</v>
      </c>
      <c r="E44" s="23" t="s">
        <v>155</v>
      </c>
    </row>
    <row r="45" spans="1:5" x14ac:dyDescent="0.25">
      <c r="A45" s="23" t="s">
        <v>64</v>
      </c>
      <c r="B45" s="60">
        <v>260</v>
      </c>
      <c r="C45" s="23" t="s">
        <v>65</v>
      </c>
      <c r="D45" s="23" t="s">
        <v>64</v>
      </c>
      <c r="E45" s="23" t="s">
        <v>157</v>
      </c>
    </row>
    <row r="46" spans="1:5" x14ac:dyDescent="0.25">
      <c r="A46" s="23" t="s">
        <v>158</v>
      </c>
      <c r="B46" s="60">
        <v>240</v>
      </c>
      <c r="C46" s="23" t="s">
        <v>67</v>
      </c>
      <c r="D46" s="23" t="s">
        <v>385</v>
      </c>
      <c r="E46" s="23" t="s">
        <v>157</v>
      </c>
    </row>
    <row r="47" spans="1:5" x14ac:dyDescent="0.25">
      <c r="A47" s="23" t="s">
        <v>159</v>
      </c>
      <c r="B47" s="60">
        <v>120</v>
      </c>
      <c r="C47" s="23" t="s">
        <v>67</v>
      </c>
      <c r="D47" s="23" t="s">
        <v>384</v>
      </c>
      <c r="E47" s="23" t="s">
        <v>157</v>
      </c>
    </row>
  </sheetData>
  <phoneticPr fontId="9" type="noConversion"/>
  <hyperlinks>
    <hyperlink ref="D5" r:id="rId1" xr:uid="{509CE070-0F8C-4F82-891F-66C1956BB981}"/>
    <hyperlink ref="D9" r:id="rId2" xr:uid="{2C433409-55CC-4143-9413-3B8C5DA7A338}"/>
  </hyperlinks>
  <pageMargins left="0.75" right="0.75" top="1" bottom="1" header="0.5" footer="0.5"/>
  <pageSetup paperSize="8" scale="77" orientation="landscape"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5"/>
  <sheetViews>
    <sheetView showGridLines="0" workbookViewId="0">
      <pane ySplit="1" topLeftCell="A2" activePane="bottomLeft" state="frozen"/>
      <selection pane="bottomLeft" activeCell="A7" sqref="A7"/>
    </sheetView>
  </sheetViews>
  <sheetFormatPr defaultRowHeight="16.5" x14ac:dyDescent="0.3"/>
  <cols>
    <col min="1" max="1" width="35.28515625" style="5" bestFit="1" customWidth="1"/>
    <col min="2" max="2" width="10.28515625" style="5" bestFit="1" customWidth="1"/>
    <col min="3" max="3" width="12.85546875" style="5" bestFit="1" customWidth="1"/>
    <col min="4" max="4" width="59.140625" style="5" bestFit="1" customWidth="1"/>
    <col min="5" max="5" width="84.28515625" style="5" bestFit="1" customWidth="1"/>
  </cols>
  <sheetData>
    <row r="1" spans="1:5" ht="17.25" thickBot="1" x14ac:dyDescent="0.3">
      <c r="A1" s="1" t="s">
        <v>163</v>
      </c>
      <c r="B1" s="1" t="s">
        <v>95</v>
      </c>
      <c r="C1" s="1" t="s">
        <v>96</v>
      </c>
      <c r="D1" s="1" t="s">
        <v>97</v>
      </c>
      <c r="E1" s="1" t="s">
        <v>98</v>
      </c>
    </row>
    <row r="2" spans="1:5" x14ac:dyDescent="0.25">
      <c r="A2" s="2" t="s">
        <v>164</v>
      </c>
      <c r="B2" s="6">
        <v>28</v>
      </c>
      <c r="C2" s="2" t="s">
        <v>28</v>
      </c>
      <c r="D2" s="2" t="s">
        <v>165</v>
      </c>
      <c r="E2" s="3" t="s">
        <v>137</v>
      </c>
    </row>
    <row r="3" spans="1:5" x14ac:dyDescent="0.25">
      <c r="A3" s="2" t="s">
        <v>166</v>
      </c>
      <c r="B3" s="6">
        <v>51.53</v>
      </c>
      <c r="C3" s="2" t="s">
        <v>167</v>
      </c>
      <c r="D3" s="2" t="s">
        <v>168</v>
      </c>
      <c r="E3" s="3" t="s">
        <v>137</v>
      </c>
    </row>
    <row r="4" spans="1:5" x14ac:dyDescent="0.25">
      <c r="A4" s="2" t="s">
        <v>169</v>
      </c>
      <c r="B4" s="6">
        <v>8.8000000000000007</v>
      </c>
      <c r="C4" s="2" t="s">
        <v>167</v>
      </c>
      <c r="D4" s="2" t="s">
        <v>170</v>
      </c>
      <c r="E4" s="3" t="s">
        <v>137</v>
      </c>
    </row>
    <row r="5" spans="1:5" x14ac:dyDescent="0.25">
      <c r="A5" s="2" t="s">
        <v>171</v>
      </c>
      <c r="B5" s="6">
        <v>0.67</v>
      </c>
      <c r="C5" s="2" t="s">
        <v>62</v>
      </c>
      <c r="D5" s="2" t="s">
        <v>172</v>
      </c>
      <c r="E5" s="3" t="s">
        <v>137</v>
      </c>
    </row>
    <row r="6" spans="1:5" x14ac:dyDescent="0.25">
      <c r="A6" s="2" t="s">
        <v>173</v>
      </c>
      <c r="B6" s="6">
        <v>0.09</v>
      </c>
      <c r="C6" s="2" t="s">
        <v>174</v>
      </c>
      <c r="D6" s="2" t="s">
        <v>175</v>
      </c>
      <c r="E6" s="3" t="s">
        <v>137</v>
      </c>
    </row>
    <row r="7" spans="1:5" x14ac:dyDescent="0.25">
      <c r="A7" s="2" t="s">
        <v>176</v>
      </c>
      <c r="B7" s="6">
        <v>70.2</v>
      </c>
      <c r="C7" s="2" t="s">
        <v>167</v>
      </c>
      <c r="D7" s="2" t="s">
        <v>177</v>
      </c>
      <c r="E7" s="3" t="s">
        <v>137</v>
      </c>
    </row>
    <row r="8" spans="1:5" x14ac:dyDescent="0.25">
      <c r="A8" s="2" t="s">
        <v>178</v>
      </c>
      <c r="B8" s="6">
        <v>17.3</v>
      </c>
      <c r="C8" s="2" t="s">
        <v>167</v>
      </c>
      <c r="D8" s="2" t="s">
        <v>179</v>
      </c>
      <c r="E8" s="3" t="s">
        <v>137</v>
      </c>
    </row>
    <row r="9" spans="1:5" x14ac:dyDescent="0.25">
      <c r="A9" s="2" t="s">
        <v>192</v>
      </c>
      <c r="B9" s="6">
        <f>44/16</f>
        <v>2.75</v>
      </c>
      <c r="C9" s="2" t="s">
        <v>39</v>
      </c>
      <c r="D9" s="2" t="s">
        <v>193</v>
      </c>
      <c r="E9" s="3" t="s">
        <v>194</v>
      </c>
    </row>
    <row r="10" spans="1:5" x14ac:dyDescent="0.25">
      <c r="A10" s="2" t="s">
        <v>235</v>
      </c>
      <c r="B10" s="6">
        <v>1.4999999999999999E-2</v>
      </c>
      <c r="C10" s="2" t="s">
        <v>180</v>
      </c>
      <c r="D10" s="2" t="s">
        <v>181</v>
      </c>
      <c r="E10" s="3"/>
    </row>
    <row r="11" spans="1:5" x14ac:dyDescent="0.25">
      <c r="A11" s="2" t="s">
        <v>182</v>
      </c>
      <c r="B11" s="6">
        <v>0.16</v>
      </c>
      <c r="C11" s="2" t="s">
        <v>183</v>
      </c>
      <c r="D11" s="2" t="s">
        <v>184</v>
      </c>
      <c r="E11" s="3"/>
    </row>
    <row r="12" spans="1:5" x14ac:dyDescent="0.25">
      <c r="A12" s="2" t="s">
        <v>185</v>
      </c>
      <c r="B12" s="6">
        <v>0.35</v>
      </c>
      <c r="C12" s="2" t="s">
        <v>66</v>
      </c>
      <c r="D12" s="2" t="s">
        <v>390</v>
      </c>
      <c r="E12" s="3" t="s">
        <v>389</v>
      </c>
    </row>
    <row r="13" spans="1:5" x14ac:dyDescent="0.25">
      <c r="A13" s="2" t="s">
        <v>186</v>
      </c>
      <c r="B13" s="6">
        <v>2</v>
      </c>
      <c r="C13" s="2" t="s">
        <v>187</v>
      </c>
      <c r="D13" s="2" t="s">
        <v>392</v>
      </c>
      <c r="E13" s="3" t="s">
        <v>391</v>
      </c>
    </row>
    <row r="14" spans="1:5" x14ac:dyDescent="0.25">
      <c r="A14" s="2" t="s">
        <v>188</v>
      </c>
      <c r="B14" s="6">
        <v>76</v>
      </c>
      <c r="C14" s="2" t="s">
        <v>45</v>
      </c>
      <c r="D14" s="2" t="s">
        <v>189</v>
      </c>
      <c r="E14" s="3"/>
    </row>
    <row r="15" spans="1:5" x14ac:dyDescent="0.25">
      <c r="A15" s="2" t="s">
        <v>190</v>
      </c>
      <c r="B15" s="6">
        <v>139</v>
      </c>
      <c r="C15" s="2" t="s">
        <v>45</v>
      </c>
      <c r="D15" s="2" t="s">
        <v>191</v>
      </c>
      <c r="E15" s="3"/>
    </row>
  </sheetData>
  <pageMargins left="0.75" right="0.75" top="1" bottom="1" header="0.5" footer="0.5"/>
  <pageSetup scale="60"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6"/>
  <sheetViews>
    <sheetView showGridLines="0" tabSelected="1" zoomScaleNormal="100" workbookViewId="0">
      <selection activeCell="B29" sqref="B29"/>
    </sheetView>
  </sheetViews>
  <sheetFormatPr defaultRowHeight="16.5" x14ac:dyDescent="0.3"/>
  <cols>
    <col min="1" max="1" width="12.140625" style="5" bestFit="1" customWidth="1"/>
    <col min="2" max="2" width="45.5703125" style="5" bestFit="1" customWidth="1"/>
    <col min="3" max="3" width="13.5703125" style="5" bestFit="1" customWidth="1"/>
    <col min="4" max="4" width="49.5703125" style="5" bestFit="1" customWidth="1"/>
    <col min="5" max="5" width="11.5703125" style="9" customWidth="1"/>
    <col min="6" max="6" width="12.28515625" style="9" bestFit="1" customWidth="1"/>
    <col min="7" max="7" width="10.5703125" style="9" customWidth="1"/>
    <col min="8" max="8" width="24.42578125" style="9" customWidth="1"/>
    <col min="9" max="9" width="13" style="9" bestFit="1" customWidth="1"/>
    <col min="10" max="10" width="16" style="9" customWidth="1"/>
    <col min="11" max="11" width="13" style="9" bestFit="1" customWidth="1"/>
    <col min="12" max="12" width="14.140625" style="17" bestFit="1" customWidth="1"/>
    <col min="13" max="13" width="14.7109375" style="21" bestFit="1" customWidth="1"/>
    <col min="14" max="14" width="115.5703125" style="5" bestFit="1" customWidth="1"/>
  </cols>
  <sheetData>
    <row r="1" spans="1:14" ht="18" x14ac:dyDescent="0.3">
      <c r="A1" s="87" t="s">
        <v>234</v>
      </c>
      <c r="B1" s="84"/>
      <c r="C1" s="84"/>
      <c r="D1" s="84"/>
      <c r="E1" s="84"/>
      <c r="F1" s="84"/>
      <c r="G1" s="84"/>
      <c r="H1" s="84"/>
      <c r="I1" s="84"/>
      <c r="J1" s="84"/>
      <c r="K1" s="84"/>
      <c r="L1" s="84"/>
      <c r="M1" s="84"/>
      <c r="N1" s="84"/>
    </row>
    <row r="3" spans="1:14" ht="17.25" thickBot="1" x14ac:dyDescent="0.3">
      <c r="A3" s="88" t="s">
        <v>0</v>
      </c>
      <c r="B3" s="88"/>
      <c r="C3" s="1" t="s">
        <v>1</v>
      </c>
      <c r="D3" s="1" t="s">
        <v>2</v>
      </c>
      <c r="E3" s="10"/>
      <c r="F3" s="10"/>
      <c r="G3" s="10"/>
      <c r="H3" s="10"/>
      <c r="I3" s="10"/>
      <c r="J3" s="10"/>
      <c r="K3" s="10"/>
      <c r="L3" s="18"/>
      <c r="M3" s="20"/>
      <c r="N3" s="1"/>
    </row>
    <row r="4" spans="1:14" x14ac:dyDescent="0.3">
      <c r="A4" s="86" t="s">
        <v>3</v>
      </c>
      <c r="B4" s="86"/>
      <c r="C4" s="22">
        <f>SUMIFS($M:$M,$A:$A,"Scope 1",$C:$C,"Operational")</f>
        <v>6527.9111807101835</v>
      </c>
      <c r="D4" s="11" t="s">
        <v>4</v>
      </c>
    </row>
    <row r="5" spans="1:14" x14ac:dyDescent="0.3">
      <c r="A5" s="86" t="s">
        <v>5</v>
      </c>
      <c r="B5" s="86"/>
      <c r="C5" s="22">
        <f>SUMIFS($M:$M,$A:$A,"Scope 1",$C:$C,"Commissioning")</f>
        <v>99.835567999999995</v>
      </c>
      <c r="D5" s="11" t="s">
        <v>6</v>
      </c>
    </row>
    <row r="6" spans="1:14" x14ac:dyDescent="0.3">
      <c r="A6" s="86" t="s">
        <v>7</v>
      </c>
      <c r="B6" s="86"/>
      <c r="C6" s="22">
        <f>SUMIFS($M:$M,$A:$A,"Scope 2")</f>
        <v>10419.840000000002</v>
      </c>
      <c r="D6" s="11" t="s">
        <v>237</v>
      </c>
    </row>
    <row r="7" spans="1:14" x14ac:dyDescent="0.3">
      <c r="A7" s="86" t="s">
        <v>8</v>
      </c>
      <c r="B7" s="86"/>
      <c r="C7" s="22">
        <f>SUMIFS($M:$M,$A:$A,"Scope 3")</f>
        <v>70331.376206279994</v>
      </c>
      <c r="D7" s="11" t="s">
        <v>240</v>
      </c>
    </row>
    <row r="8" spans="1:14" x14ac:dyDescent="0.3">
      <c r="A8" s="86" t="s">
        <v>9</v>
      </c>
      <c r="B8" s="86"/>
      <c r="C8" s="22">
        <f>C4+C6+C7</f>
        <v>87279.127386990178</v>
      </c>
      <c r="D8" s="11" t="s">
        <v>241</v>
      </c>
    </row>
    <row r="9" spans="1:14" x14ac:dyDescent="0.3">
      <c r="A9" s="86" t="s">
        <v>10</v>
      </c>
      <c r="B9" s="86"/>
      <c r="C9" s="22">
        <f>C8+C5</f>
        <v>87378.962954990173</v>
      </c>
      <c r="D9" s="11" t="s">
        <v>242</v>
      </c>
    </row>
    <row r="11" spans="1:14" s="7" customFormat="1" ht="33.75" thickBot="1" x14ac:dyDescent="0.3">
      <c r="A11" s="1" t="s">
        <v>11</v>
      </c>
      <c r="B11" s="1" t="s">
        <v>12</v>
      </c>
      <c r="C11" s="1" t="s">
        <v>13</v>
      </c>
      <c r="D11" s="1" t="s">
        <v>14</v>
      </c>
      <c r="E11" s="12" t="s">
        <v>15</v>
      </c>
      <c r="F11" s="12" t="s">
        <v>16</v>
      </c>
      <c r="G11" s="12" t="s">
        <v>17</v>
      </c>
      <c r="H11" s="12" t="s">
        <v>18</v>
      </c>
      <c r="I11" s="12" t="s">
        <v>19</v>
      </c>
      <c r="J11" s="12" t="s">
        <v>20</v>
      </c>
      <c r="K11" s="12" t="s">
        <v>21</v>
      </c>
      <c r="L11" s="12" t="s">
        <v>22</v>
      </c>
      <c r="M11" s="19" t="s">
        <v>23</v>
      </c>
      <c r="N11" s="1" t="s">
        <v>216</v>
      </c>
    </row>
    <row r="12" spans="1:14" x14ac:dyDescent="0.25">
      <c r="A12" s="2" t="s">
        <v>24</v>
      </c>
      <c r="B12" s="2" t="s">
        <v>55</v>
      </c>
      <c r="C12" s="4" t="s">
        <v>56</v>
      </c>
      <c r="D12" s="2" t="s">
        <v>343</v>
      </c>
      <c r="E12" s="24">
        <f>Conversions!$B$6</f>
        <v>2.0930560000000002</v>
      </c>
      <c r="F12" s="15" t="s">
        <v>57</v>
      </c>
      <c r="G12" s="14">
        <f>'Emission Factors'!$B$2</f>
        <v>28</v>
      </c>
      <c r="H12" s="15" t="s">
        <v>28</v>
      </c>
      <c r="I12" s="14"/>
      <c r="J12" s="14"/>
      <c r="K12" s="14"/>
      <c r="L12" s="15"/>
      <c r="M12" s="24">
        <f>E12*G12</f>
        <v>58.605568000000005</v>
      </c>
      <c r="N12" s="2" t="s">
        <v>332</v>
      </c>
    </row>
    <row r="13" spans="1:14" x14ac:dyDescent="0.25">
      <c r="A13" s="2" t="s">
        <v>24</v>
      </c>
      <c r="B13" s="2" t="s">
        <v>58</v>
      </c>
      <c r="C13" s="4" t="s">
        <v>56</v>
      </c>
      <c r="D13" s="2" t="s">
        <v>341</v>
      </c>
      <c r="E13" s="24">
        <f>Conversions!B7</f>
        <v>13.333333333333334</v>
      </c>
      <c r="F13" s="15" t="s">
        <v>37</v>
      </c>
      <c r="G13" s="14">
        <f>Conversions!$B$11*Conversions!$B$12</f>
        <v>0.93099999999999994</v>
      </c>
      <c r="H13" s="15" t="s">
        <v>38</v>
      </c>
      <c r="I13" s="14">
        <f>'Emission Factors'!$B$9</f>
        <v>2.75</v>
      </c>
      <c r="J13" s="15" t="s">
        <v>39</v>
      </c>
      <c r="K13" s="14"/>
      <c r="L13" s="15"/>
      <c r="M13" s="24">
        <f>E13*G13*I13</f>
        <v>34.136666666666663</v>
      </c>
      <c r="N13" s="2" t="s">
        <v>346</v>
      </c>
    </row>
    <row r="14" spans="1:14" x14ac:dyDescent="0.25">
      <c r="A14" s="2" t="s">
        <v>24</v>
      </c>
      <c r="B14" s="2" t="s">
        <v>58</v>
      </c>
      <c r="C14" s="4" t="s">
        <v>56</v>
      </c>
      <c r="D14" s="2" t="s">
        <v>342</v>
      </c>
      <c r="E14" s="24">
        <f>Conversions!B7</f>
        <v>13.333333333333334</v>
      </c>
      <c r="F14" s="15" t="s">
        <v>37</v>
      </c>
      <c r="G14" s="14">
        <f>Conversions!$B$11*(1-Conversions!$B$12)</f>
        <v>1.9000000000000017E-2</v>
      </c>
      <c r="H14" s="15" t="s">
        <v>345</v>
      </c>
      <c r="I14" s="14">
        <f>'Emission Factors'!$B$2</f>
        <v>28</v>
      </c>
      <c r="J14" s="15" t="s">
        <v>28</v>
      </c>
      <c r="K14" s="14"/>
      <c r="L14" s="15"/>
      <c r="M14" s="24">
        <f>E14*G14*I14</f>
        <v>7.0933333333333399</v>
      </c>
      <c r="N14" s="2" t="s">
        <v>347</v>
      </c>
    </row>
    <row r="15" spans="1:14" x14ac:dyDescent="0.25">
      <c r="A15" s="2" t="s">
        <v>24</v>
      </c>
      <c r="B15" s="2" t="s">
        <v>33</v>
      </c>
      <c r="C15" s="13" t="s">
        <v>25</v>
      </c>
      <c r="D15" s="2" t="s">
        <v>34</v>
      </c>
      <c r="E15" s="24">
        <f>Conversions!$B$15</f>
        <v>0.7</v>
      </c>
      <c r="F15" s="15" t="s">
        <v>35</v>
      </c>
      <c r="G15" s="14">
        <f>Conversions!$B$2</f>
        <v>360</v>
      </c>
      <c r="H15" s="15" t="s">
        <v>32</v>
      </c>
      <c r="I15" s="25"/>
      <c r="J15" s="15"/>
      <c r="K15" s="14"/>
      <c r="L15" s="15"/>
      <c r="M15" s="24">
        <f>E15*G15</f>
        <v>251.99999999999997</v>
      </c>
      <c r="N15" s="2" t="s">
        <v>205</v>
      </c>
    </row>
    <row r="16" spans="1:14" x14ac:dyDescent="0.25">
      <c r="A16" s="2" t="s">
        <v>24</v>
      </c>
      <c r="B16" s="2" t="s">
        <v>349</v>
      </c>
      <c r="C16" s="13" t="s">
        <v>25</v>
      </c>
      <c r="D16" s="2" t="s">
        <v>344</v>
      </c>
      <c r="E16" s="24">
        <f>Conversions!$B$14</f>
        <v>0.11</v>
      </c>
      <c r="F16" s="15" t="s">
        <v>31</v>
      </c>
      <c r="G16" s="14">
        <f>Conversions!$B$2</f>
        <v>360</v>
      </c>
      <c r="H16" s="15" t="s">
        <v>32</v>
      </c>
      <c r="I16" s="14">
        <f>'Emission Factors'!$B$2</f>
        <v>28</v>
      </c>
      <c r="J16" s="15" t="s">
        <v>28</v>
      </c>
      <c r="K16" s="14"/>
      <c r="L16" s="15"/>
      <c r="M16" s="24">
        <f>E16*G16*I16</f>
        <v>1108.8</v>
      </c>
      <c r="N16" s="2" t="s">
        <v>204</v>
      </c>
    </row>
    <row r="17" spans="1:14" x14ac:dyDescent="0.25">
      <c r="A17" s="2" t="s">
        <v>24</v>
      </c>
      <c r="B17" s="2" t="s">
        <v>348</v>
      </c>
      <c r="C17" s="13" t="s">
        <v>25</v>
      </c>
      <c r="D17" s="2" t="s">
        <v>26</v>
      </c>
      <c r="E17" s="24">
        <f>Conversions!$B$13</f>
        <v>5.1428571428571432</v>
      </c>
      <c r="F17" s="15" t="s">
        <v>27</v>
      </c>
      <c r="G17" s="14"/>
      <c r="H17" s="15"/>
      <c r="I17" s="14">
        <f>'Emission Factors'!$B$2</f>
        <v>28</v>
      </c>
      <c r="J17" s="15" t="s">
        <v>28</v>
      </c>
      <c r="K17" s="14"/>
      <c r="L17" s="15"/>
      <c r="M17" s="24">
        <f>E17*I17</f>
        <v>144</v>
      </c>
      <c r="N17" s="2" t="s">
        <v>356</v>
      </c>
    </row>
    <row r="18" spans="1:14" x14ac:dyDescent="0.25">
      <c r="A18" s="2" t="s">
        <v>24</v>
      </c>
      <c r="B18" s="2" t="s">
        <v>36</v>
      </c>
      <c r="C18" s="13" t="s">
        <v>25</v>
      </c>
      <c r="D18" s="2" t="s">
        <v>196</v>
      </c>
      <c r="E18" s="24">
        <f>Conversions!$B$10*Conversions!$B$8</f>
        <v>350</v>
      </c>
      <c r="F18" s="15" t="s">
        <v>37</v>
      </c>
      <c r="G18" s="14">
        <f>Conversions!$B$11*Conversions!$B$12</f>
        <v>0.93099999999999994</v>
      </c>
      <c r="H18" s="15" t="s">
        <v>38</v>
      </c>
      <c r="I18" s="14">
        <f>'Emission Factors'!$B$9</f>
        <v>2.75</v>
      </c>
      <c r="J18" s="15" t="s">
        <v>39</v>
      </c>
      <c r="K18" s="14"/>
      <c r="L18" s="15"/>
      <c r="M18" s="24">
        <f>E18*G18*I18</f>
        <v>896.08749999999986</v>
      </c>
      <c r="N18" s="2" t="s">
        <v>212</v>
      </c>
    </row>
    <row r="19" spans="1:14" x14ac:dyDescent="0.25">
      <c r="A19" s="2" t="s">
        <v>24</v>
      </c>
      <c r="B19" s="2" t="s">
        <v>36</v>
      </c>
      <c r="C19" s="13" t="s">
        <v>25</v>
      </c>
      <c r="D19" s="2" t="s">
        <v>197</v>
      </c>
      <c r="E19" s="24">
        <f>Conversions!$B$10*Conversions!$B$8</f>
        <v>350</v>
      </c>
      <c r="F19" s="15" t="s">
        <v>37</v>
      </c>
      <c r="G19" s="14">
        <f>Conversions!$B$11*(1-Conversions!$B$12)</f>
        <v>1.9000000000000017E-2</v>
      </c>
      <c r="H19" s="15" t="s">
        <v>345</v>
      </c>
      <c r="I19" s="14">
        <f>'Emission Factors'!$B$2</f>
        <v>28</v>
      </c>
      <c r="J19" s="15" t="s">
        <v>28</v>
      </c>
      <c r="K19" s="14"/>
      <c r="L19" s="15"/>
      <c r="M19" s="24">
        <f>E19*G19*I19</f>
        <v>186.20000000000016</v>
      </c>
      <c r="N19" s="2" t="s">
        <v>213</v>
      </c>
    </row>
    <row r="20" spans="1:14" s="8" customFormat="1" x14ac:dyDescent="0.25">
      <c r="A20" s="2" t="s">
        <v>24</v>
      </c>
      <c r="B20" s="2" t="s">
        <v>224</v>
      </c>
      <c r="C20" s="13" t="s">
        <v>25</v>
      </c>
      <c r="D20" s="2" t="s">
        <v>230</v>
      </c>
      <c r="E20" s="24">
        <f>1*Conversions!B3</f>
        <v>24</v>
      </c>
      <c r="F20" s="15" t="s">
        <v>206</v>
      </c>
      <c r="G20" s="14">
        <f>Conversions!$B$2</f>
        <v>360</v>
      </c>
      <c r="H20" s="15" t="s">
        <v>32</v>
      </c>
      <c r="I20" s="14">
        <f>'Emission Factors'!$B$3</f>
        <v>51.53</v>
      </c>
      <c r="J20" s="15" t="s">
        <v>41</v>
      </c>
      <c r="K20" s="25">
        <v>1000</v>
      </c>
      <c r="L20" s="15" t="s">
        <v>42</v>
      </c>
      <c r="M20" s="24">
        <f>E20*G20*I20*Conversions!B22*Conversions!B9/K20</f>
        <v>3894.4170159901842</v>
      </c>
      <c r="N20" s="2" t="s">
        <v>232</v>
      </c>
    </row>
    <row r="21" spans="1:14" x14ac:dyDescent="0.25">
      <c r="A21" s="2" t="s">
        <v>24</v>
      </c>
      <c r="B21" s="2" t="s">
        <v>47</v>
      </c>
      <c r="C21" s="13" t="s">
        <v>25</v>
      </c>
      <c r="D21" s="2" t="s">
        <v>48</v>
      </c>
      <c r="E21" s="24">
        <f>Conversions!$B$23</f>
        <v>16.847999999999999</v>
      </c>
      <c r="F21" s="15" t="s">
        <v>49</v>
      </c>
      <c r="G21" s="14">
        <f>Conversions!$B$34</f>
        <v>38.6</v>
      </c>
      <c r="H21" s="15" t="s">
        <v>50</v>
      </c>
      <c r="I21" s="14">
        <f>'Emission Factors'!$B$7</f>
        <v>70.2</v>
      </c>
      <c r="J21" s="15" t="s">
        <v>41</v>
      </c>
      <c r="K21" s="25">
        <v>1000</v>
      </c>
      <c r="L21" s="15" t="s">
        <v>42</v>
      </c>
      <c r="M21" s="24">
        <f>E21*G21*I21/K21</f>
        <v>45.653362559999998</v>
      </c>
      <c r="N21" s="2" t="s">
        <v>387</v>
      </c>
    </row>
    <row r="22" spans="1:14" x14ac:dyDescent="0.25">
      <c r="A22" s="2" t="s">
        <v>24</v>
      </c>
      <c r="B22" s="2" t="s">
        <v>43</v>
      </c>
      <c r="C22" s="13" t="s">
        <v>25</v>
      </c>
      <c r="D22" s="2" t="s">
        <v>333</v>
      </c>
      <c r="E22" s="24">
        <f>Conversions!$B$33*Conversions!$B$32/60</f>
        <v>2</v>
      </c>
      <c r="F22" s="15" t="s">
        <v>44</v>
      </c>
      <c r="G22" s="14">
        <f>'Emission Factors'!$B$15</f>
        <v>139</v>
      </c>
      <c r="H22" s="15" t="s">
        <v>45</v>
      </c>
      <c r="I22" s="14">
        <f>'Emission Factors'!$B$7*Conversions!$B$34/1000</f>
        <v>2.7097200000000004</v>
      </c>
      <c r="J22" s="15" t="s">
        <v>46</v>
      </c>
      <c r="K22" s="25">
        <v>1000</v>
      </c>
      <c r="L22" s="15" t="s">
        <v>42</v>
      </c>
      <c r="M22" s="24">
        <f>E22*G22*I22/K22</f>
        <v>0.75330216000000005</v>
      </c>
      <c r="N22" s="2" t="s">
        <v>393</v>
      </c>
    </row>
    <row r="23" spans="1:14" s="8" customFormat="1" x14ac:dyDescent="0.25">
      <c r="A23" s="2" t="s">
        <v>24</v>
      </c>
      <c r="B23" s="2" t="s">
        <v>51</v>
      </c>
      <c r="C23" s="13" t="s">
        <v>25</v>
      </c>
      <c r="D23" s="2" t="s">
        <v>52</v>
      </c>
      <c r="E23" s="26"/>
      <c r="F23" s="15" t="s">
        <v>53</v>
      </c>
      <c r="G23" s="14"/>
      <c r="H23" s="15"/>
      <c r="I23" s="14"/>
      <c r="J23" s="14"/>
      <c r="K23" s="14"/>
      <c r="L23" s="15"/>
      <c r="M23" s="24"/>
      <c r="N23" s="2" t="s">
        <v>214</v>
      </c>
    </row>
    <row r="24" spans="1:14" s="8" customFormat="1" x14ac:dyDescent="0.25">
      <c r="A24" s="2" t="s">
        <v>24</v>
      </c>
      <c r="B24" s="2" t="s">
        <v>54</v>
      </c>
      <c r="C24" s="13" t="s">
        <v>25</v>
      </c>
      <c r="D24" s="2" t="s">
        <v>195</v>
      </c>
      <c r="E24" s="26"/>
      <c r="F24" s="15" t="s">
        <v>53</v>
      </c>
      <c r="G24" s="14"/>
      <c r="H24" s="15"/>
      <c r="I24" s="14"/>
      <c r="J24" s="14"/>
      <c r="K24" s="14"/>
      <c r="L24" s="15"/>
      <c r="M24" s="24"/>
      <c r="N24" s="2" t="s">
        <v>215</v>
      </c>
    </row>
    <row r="25" spans="1:14" s="8" customFormat="1" x14ac:dyDescent="0.25">
      <c r="A25" s="2" t="s">
        <v>7</v>
      </c>
      <c r="B25" s="2" t="s">
        <v>60</v>
      </c>
      <c r="C25" s="13" t="s">
        <v>25</v>
      </c>
      <c r="D25" s="2" t="s">
        <v>231</v>
      </c>
      <c r="E25" s="24">
        <f>Conversions!$B$30*Conversions!$B$3*Conversions!$B$2</f>
        <v>15552.000000000002</v>
      </c>
      <c r="F25" s="15" t="s">
        <v>61</v>
      </c>
      <c r="G25" s="14">
        <f>'Emission Factors'!$B$5</f>
        <v>0.67</v>
      </c>
      <c r="H25" s="15" t="s">
        <v>222</v>
      </c>
      <c r="I25" s="25"/>
      <c r="J25" s="15"/>
      <c r="K25" s="14"/>
      <c r="L25" s="15"/>
      <c r="M25" s="24">
        <f>E25*G25</f>
        <v>10419.840000000002</v>
      </c>
      <c r="N25" s="2" t="s">
        <v>233</v>
      </c>
    </row>
    <row r="26" spans="1:14" x14ac:dyDescent="0.25">
      <c r="A26" s="2" t="s">
        <v>8</v>
      </c>
      <c r="B26" s="2" t="s">
        <v>217</v>
      </c>
      <c r="C26" s="16" t="s">
        <v>63</v>
      </c>
      <c r="D26" s="2" t="s">
        <v>64</v>
      </c>
      <c r="E26" s="24">
        <f>Conversions!$B$45</f>
        <v>260</v>
      </c>
      <c r="F26" s="15" t="s">
        <v>65</v>
      </c>
      <c r="G26" s="14">
        <f>'Emission Factors'!$B$12</f>
        <v>0.35</v>
      </c>
      <c r="H26" s="15" t="s">
        <v>66</v>
      </c>
      <c r="I26" s="14"/>
      <c r="J26" s="15"/>
      <c r="K26" s="14"/>
      <c r="L26" s="15"/>
      <c r="M26" s="24">
        <f>E26*G26</f>
        <v>91</v>
      </c>
      <c r="N26" s="2" t="s">
        <v>388</v>
      </c>
    </row>
    <row r="27" spans="1:14" x14ac:dyDescent="0.25">
      <c r="A27" s="2" t="s">
        <v>8</v>
      </c>
      <c r="B27" s="2" t="s">
        <v>217</v>
      </c>
      <c r="C27" s="16" t="s">
        <v>63</v>
      </c>
      <c r="D27" s="2" t="s">
        <v>238</v>
      </c>
      <c r="E27" s="24">
        <f>Conversions!$B$46</f>
        <v>240</v>
      </c>
      <c r="F27" s="15" t="s">
        <v>67</v>
      </c>
      <c r="G27" s="14">
        <f>'Emission Factors'!$B$13</f>
        <v>2</v>
      </c>
      <c r="H27" s="15" t="s">
        <v>68</v>
      </c>
      <c r="I27" s="14"/>
      <c r="J27" s="15"/>
      <c r="K27" s="14"/>
      <c r="L27" s="15"/>
      <c r="M27" s="24">
        <f>E27*G27</f>
        <v>480</v>
      </c>
      <c r="N27" s="2" t="s">
        <v>388</v>
      </c>
    </row>
    <row r="28" spans="1:14" x14ac:dyDescent="0.25">
      <c r="A28" s="2" t="s">
        <v>8</v>
      </c>
      <c r="B28" s="2" t="s">
        <v>217</v>
      </c>
      <c r="C28" s="16" t="s">
        <v>63</v>
      </c>
      <c r="D28" s="2" t="s">
        <v>239</v>
      </c>
      <c r="E28" s="24">
        <f>Conversions!$B$47</f>
        <v>120</v>
      </c>
      <c r="F28" s="15" t="s">
        <v>67</v>
      </c>
      <c r="G28" s="14">
        <f>'Emission Factors'!$B$13</f>
        <v>2</v>
      </c>
      <c r="H28" s="15" t="s">
        <v>68</v>
      </c>
      <c r="I28" s="14"/>
      <c r="J28" s="15"/>
      <c r="K28" s="14"/>
      <c r="L28" s="15"/>
      <c r="M28" s="24">
        <f>E28*G28</f>
        <v>240</v>
      </c>
      <c r="N28" s="2" t="s">
        <v>388</v>
      </c>
    </row>
    <row r="29" spans="1:14" s="8" customFormat="1" x14ac:dyDescent="0.25">
      <c r="A29" s="2" t="s">
        <v>8</v>
      </c>
      <c r="B29" s="2" t="s">
        <v>218</v>
      </c>
      <c r="C29" s="13" t="s">
        <v>25</v>
      </c>
      <c r="D29" s="2" t="s">
        <v>338</v>
      </c>
      <c r="E29" s="24">
        <f>E25</f>
        <v>15552.000000000002</v>
      </c>
      <c r="F29" s="15" t="s">
        <v>61</v>
      </c>
      <c r="G29" s="14">
        <f>'Emission Factors'!$B$6</f>
        <v>0.09</v>
      </c>
      <c r="H29" s="15" t="s">
        <v>222</v>
      </c>
      <c r="I29" s="25"/>
      <c r="J29" s="15"/>
      <c r="K29" s="14"/>
      <c r="L29" s="15"/>
      <c r="M29" s="24">
        <f>E29*G29</f>
        <v>1399.68</v>
      </c>
      <c r="N29" s="2" t="s">
        <v>394</v>
      </c>
    </row>
    <row r="30" spans="1:14" x14ac:dyDescent="0.25">
      <c r="A30" s="2" t="s">
        <v>8</v>
      </c>
      <c r="B30" s="2" t="s">
        <v>218</v>
      </c>
      <c r="C30" s="13" t="s">
        <v>25</v>
      </c>
      <c r="D30" s="2" t="s">
        <v>69</v>
      </c>
      <c r="E30" s="24">
        <f>Conversions!$B$23</f>
        <v>16.847999999999999</v>
      </c>
      <c r="F30" s="15" t="s">
        <v>70</v>
      </c>
      <c r="G30" s="14">
        <f>Conversions!$B$34</f>
        <v>38.6</v>
      </c>
      <c r="H30" s="15" t="s">
        <v>50</v>
      </c>
      <c r="I30" s="14">
        <f>'Emission Factors'!$B$8</f>
        <v>17.3</v>
      </c>
      <c r="J30" s="15" t="s">
        <v>41</v>
      </c>
      <c r="K30" s="14">
        <v>1000</v>
      </c>
      <c r="L30" s="15" t="s">
        <v>42</v>
      </c>
      <c r="M30" s="24">
        <f>E30*G30*I30/K30</f>
        <v>11.250757440000001</v>
      </c>
      <c r="N30" s="2" t="s">
        <v>394</v>
      </c>
    </row>
    <row r="31" spans="1:14" x14ac:dyDescent="0.25">
      <c r="A31" s="2" t="s">
        <v>8</v>
      </c>
      <c r="B31" s="2" t="s">
        <v>218</v>
      </c>
      <c r="C31" s="13" t="s">
        <v>25</v>
      </c>
      <c r="D31" s="2" t="s">
        <v>71</v>
      </c>
      <c r="E31" s="24">
        <f>Conversions!$B$33*Conversions!$B$32/60</f>
        <v>2</v>
      </c>
      <c r="F31" s="15" t="s">
        <v>44</v>
      </c>
      <c r="G31" s="14">
        <f>'Emission Factors'!$B$15/1000</f>
        <v>0.13900000000000001</v>
      </c>
      <c r="H31" s="15" t="s">
        <v>72</v>
      </c>
      <c r="I31" s="14">
        <f>Conversions!$B$34</f>
        <v>38.6</v>
      </c>
      <c r="J31" s="15" t="s">
        <v>50</v>
      </c>
      <c r="K31" s="14">
        <f>'Emission Factors'!$B$8/1000</f>
        <v>1.7299999999999999E-2</v>
      </c>
      <c r="L31" s="15" t="s">
        <v>73</v>
      </c>
      <c r="M31" s="24">
        <f>E31*G31*I31*K31</f>
        <v>0.18564284000000003</v>
      </c>
      <c r="N31" s="2" t="s">
        <v>223</v>
      </c>
    </row>
    <row r="32" spans="1:14" x14ac:dyDescent="0.25">
      <c r="A32" s="2" t="s">
        <v>8</v>
      </c>
      <c r="B32" s="2" t="s">
        <v>219</v>
      </c>
      <c r="C32" s="16" t="s">
        <v>63</v>
      </c>
      <c r="D32" s="2" t="s">
        <v>198</v>
      </c>
      <c r="E32" s="24">
        <v>6</v>
      </c>
      <c r="F32" s="15" t="s">
        <v>74</v>
      </c>
      <c r="G32" s="14">
        <v>1000</v>
      </c>
      <c r="H32" s="15" t="s">
        <v>75</v>
      </c>
      <c r="I32" s="14">
        <f>Conversions!$B$40</f>
        <v>0.6</v>
      </c>
      <c r="J32" s="15" t="s">
        <v>76</v>
      </c>
      <c r="K32" s="14">
        <f>Conversions!$B$34*('Emission Factors'!$B$7+'Emission Factors'!$B$8)/1000</f>
        <v>3.3774999999999999</v>
      </c>
      <c r="L32" s="15" t="s">
        <v>77</v>
      </c>
      <c r="M32" s="24">
        <f>E32*G32*I32/1000*K32</f>
        <v>12.159000000000001</v>
      </c>
      <c r="N32" s="2" t="s">
        <v>395</v>
      </c>
    </row>
    <row r="33" spans="1:14" x14ac:dyDescent="0.25">
      <c r="A33" s="2" t="s">
        <v>8</v>
      </c>
      <c r="B33" s="2" t="s">
        <v>219</v>
      </c>
      <c r="C33" s="16" t="s">
        <v>63</v>
      </c>
      <c r="D33" s="2" t="s">
        <v>199</v>
      </c>
      <c r="E33" s="24">
        <v>240</v>
      </c>
      <c r="F33" s="15" t="s">
        <v>78</v>
      </c>
      <c r="G33" s="14">
        <v>8300</v>
      </c>
      <c r="H33" s="15" t="s">
        <v>75</v>
      </c>
      <c r="I33" s="14">
        <f>'Emission Factors'!$B$10</f>
        <v>1.4999999999999999E-2</v>
      </c>
      <c r="J33" s="15" t="s">
        <v>79</v>
      </c>
      <c r="K33" s="14">
        <v>1000</v>
      </c>
      <c r="L33" s="15" t="s">
        <v>42</v>
      </c>
      <c r="M33" s="24">
        <f>E33*G33*I33/K33</f>
        <v>29.88</v>
      </c>
      <c r="N33" s="2" t="s">
        <v>395</v>
      </c>
    </row>
    <row r="34" spans="1:14" x14ac:dyDescent="0.25">
      <c r="A34" s="2" t="s">
        <v>8</v>
      </c>
      <c r="B34" s="2" t="s">
        <v>219</v>
      </c>
      <c r="C34" s="16" t="s">
        <v>63</v>
      </c>
      <c r="D34" s="2" t="s">
        <v>201</v>
      </c>
      <c r="E34" s="24">
        <v>260</v>
      </c>
      <c r="F34" s="15" t="s">
        <v>75</v>
      </c>
      <c r="G34" s="14">
        <f>(2*Conversions!$B$40+8*Conversions!$B$41)</f>
        <v>2.16</v>
      </c>
      <c r="H34" s="15" t="s">
        <v>80</v>
      </c>
      <c r="I34" s="14">
        <f>Conversions!$B$34*('Emission Factors'!$B$7+'Emission Factors'!$B$8)/1000</f>
        <v>3.3774999999999999</v>
      </c>
      <c r="J34" s="15" t="s">
        <v>77</v>
      </c>
      <c r="K34" s="14"/>
      <c r="L34" s="15"/>
      <c r="M34" s="24">
        <f>E34*G34/1000*I34</f>
        <v>1.8968039999999999</v>
      </c>
      <c r="N34" s="2" t="s">
        <v>395</v>
      </c>
    </row>
    <row r="35" spans="1:14" x14ac:dyDescent="0.25">
      <c r="A35" s="2" t="s">
        <v>8</v>
      </c>
      <c r="B35" s="2" t="s">
        <v>219</v>
      </c>
      <c r="C35" s="16" t="s">
        <v>63</v>
      </c>
      <c r="D35" s="2" t="s">
        <v>200</v>
      </c>
      <c r="E35" s="24">
        <v>30</v>
      </c>
      <c r="F35" s="15" t="s">
        <v>78</v>
      </c>
      <c r="G35" s="14">
        <v>12000</v>
      </c>
      <c r="H35" s="15" t="s">
        <v>75</v>
      </c>
      <c r="I35" s="14">
        <f>'Emission Factors'!$B$10</f>
        <v>1.4999999999999999E-2</v>
      </c>
      <c r="J35" s="15" t="s">
        <v>79</v>
      </c>
      <c r="K35" s="14">
        <v>1000</v>
      </c>
      <c r="L35" s="15" t="s">
        <v>42</v>
      </c>
      <c r="M35" s="24">
        <f>E35*G35*I35/K35</f>
        <v>5.4</v>
      </c>
      <c r="N35" s="2" t="s">
        <v>395</v>
      </c>
    </row>
    <row r="36" spans="1:14" x14ac:dyDescent="0.25">
      <c r="A36" s="2" t="s">
        <v>8</v>
      </c>
      <c r="B36" s="2" t="s">
        <v>219</v>
      </c>
      <c r="C36" s="16" t="s">
        <v>63</v>
      </c>
      <c r="D36" s="2" t="s">
        <v>202</v>
      </c>
      <c r="E36" s="24">
        <v>260</v>
      </c>
      <c r="F36" s="15" t="s">
        <v>75</v>
      </c>
      <c r="G36" s="14">
        <f>(1*Conversions!$B$40+4*Conversions!$B$41)</f>
        <v>1.08</v>
      </c>
      <c r="H36" s="15" t="s">
        <v>80</v>
      </c>
      <c r="I36" s="14">
        <f>Conversions!$B$34*('Emission Factors'!$B$7+'Emission Factors'!$B$8)/1000</f>
        <v>3.3774999999999999</v>
      </c>
      <c r="J36" s="15" t="s">
        <v>77</v>
      </c>
      <c r="K36" s="14"/>
      <c r="L36" s="15"/>
      <c r="M36" s="24">
        <f>E36*G36/1000*I36</f>
        <v>0.94840199999999997</v>
      </c>
      <c r="N36" s="2" t="s">
        <v>395</v>
      </c>
    </row>
    <row r="37" spans="1:14" x14ac:dyDescent="0.25">
      <c r="A37" s="2" t="s">
        <v>8</v>
      </c>
      <c r="B37" s="2" t="s">
        <v>219</v>
      </c>
      <c r="C37" s="16" t="s">
        <v>63</v>
      </c>
      <c r="D37" s="2" t="s">
        <v>203</v>
      </c>
      <c r="E37" s="24">
        <v>6</v>
      </c>
      <c r="F37" s="15" t="s">
        <v>81</v>
      </c>
      <c r="G37" s="14">
        <v>1200</v>
      </c>
      <c r="H37" s="15" t="s">
        <v>75</v>
      </c>
      <c r="I37" s="14">
        <f>Conversions!$B$40</f>
        <v>0.6</v>
      </c>
      <c r="J37" s="15" t="s">
        <v>76</v>
      </c>
      <c r="K37" s="14">
        <f>Conversions!$B$34*('Emission Factors'!$B$7+'Emission Factors'!$B$8)/1000</f>
        <v>3.3774999999999999</v>
      </c>
      <c r="L37" s="15" t="s">
        <v>77</v>
      </c>
      <c r="M37" s="24">
        <f>E37*G37*I37/1000*K37</f>
        <v>14.590800000000002</v>
      </c>
      <c r="N37" s="2" t="s">
        <v>395</v>
      </c>
    </row>
    <row r="38" spans="1:14" x14ac:dyDescent="0.25">
      <c r="A38" s="2" t="s">
        <v>8</v>
      </c>
      <c r="B38" s="2" t="s">
        <v>219</v>
      </c>
      <c r="C38" s="13" t="s">
        <v>25</v>
      </c>
      <c r="D38" s="2" t="s">
        <v>82</v>
      </c>
      <c r="E38" s="24">
        <v>2</v>
      </c>
      <c r="F38" s="15" t="s">
        <v>83</v>
      </c>
      <c r="G38" s="14">
        <v>900</v>
      </c>
      <c r="H38" s="15" t="s">
        <v>84</v>
      </c>
      <c r="I38" s="14">
        <f>Conversions!$B$2</f>
        <v>360</v>
      </c>
      <c r="J38" s="15" t="s">
        <v>32</v>
      </c>
      <c r="K38" s="14">
        <f>Conversions!$B$40*Conversions!$B$34*('Emission Factors'!$B$7+'Emission Factors'!$B$8)/1000000</f>
        <v>2.0265000000000001E-3</v>
      </c>
      <c r="L38" s="15" t="s">
        <v>85</v>
      </c>
      <c r="M38" s="24">
        <f>E38*G38*I38*K38</f>
        <v>1313.172</v>
      </c>
      <c r="N38" s="2" t="s">
        <v>395</v>
      </c>
    </row>
    <row r="39" spans="1:14" s="8" customFormat="1" x14ac:dyDescent="0.25">
      <c r="A39" s="2" t="s">
        <v>8</v>
      </c>
      <c r="B39" s="2" t="s">
        <v>220</v>
      </c>
      <c r="C39" s="13" t="s">
        <v>25</v>
      </c>
      <c r="D39" s="2" t="s">
        <v>86</v>
      </c>
      <c r="E39" s="24">
        <f>Conversions!$B$38</f>
        <v>2</v>
      </c>
      <c r="F39" s="15" t="s">
        <v>83</v>
      </c>
      <c r="G39" s="14">
        <f>Conversions!$B$39</f>
        <v>880</v>
      </c>
      <c r="H39" s="15" t="s">
        <v>87</v>
      </c>
      <c r="I39" s="14">
        <f>Conversions!$B$2</f>
        <v>360</v>
      </c>
      <c r="J39" s="15" t="s">
        <v>32</v>
      </c>
      <c r="K39" s="14">
        <f>Conversions!$B$40*Conversions!$B$34*('Emission Factors'!$B$7+'Emission Factors'!$B$8)/1000000</f>
        <v>2.0265000000000001E-3</v>
      </c>
      <c r="L39" s="15" t="s">
        <v>85</v>
      </c>
      <c r="M39" s="24">
        <f>E39*G39*I39*K39</f>
        <v>1283.9904000000001</v>
      </c>
      <c r="N39" s="2" t="s">
        <v>396</v>
      </c>
    </row>
    <row r="40" spans="1:14" x14ac:dyDescent="0.25">
      <c r="A40" s="2" t="s">
        <v>8</v>
      </c>
      <c r="B40" s="2" t="s">
        <v>221</v>
      </c>
      <c r="C40" s="13" t="s">
        <v>25</v>
      </c>
      <c r="D40" s="2" t="s">
        <v>88</v>
      </c>
      <c r="E40" s="24">
        <f>Conversions!$B$35*Conversions!$B$2</f>
        <v>25200</v>
      </c>
      <c r="F40" s="15" t="s">
        <v>89</v>
      </c>
      <c r="G40" s="14">
        <f>Conversions!$B$36</f>
        <v>50.4</v>
      </c>
      <c r="H40" s="15" t="s">
        <v>90</v>
      </c>
      <c r="I40" s="14">
        <f>'Emission Factors'!$B$3</f>
        <v>51.53</v>
      </c>
      <c r="J40" s="15" t="s">
        <v>41</v>
      </c>
      <c r="K40" s="14">
        <v>1000</v>
      </c>
      <c r="L40" s="15" t="s">
        <v>42</v>
      </c>
      <c r="M40" s="24">
        <f>E40*G40*I40/K40</f>
        <v>65447.222399999999</v>
      </c>
      <c r="N40" s="2" t="s">
        <v>397</v>
      </c>
    </row>
    <row r="42" spans="1:14" x14ac:dyDescent="0.3">
      <c r="A42" s="85" t="s">
        <v>91</v>
      </c>
      <c r="B42" s="84"/>
      <c r="C42" s="84"/>
      <c r="D42" s="84"/>
      <c r="E42" s="84"/>
      <c r="F42" s="84"/>
      <c r="G42" s="84"/>
      <c r="H42" s="84"/>
      <c r="I42" s="84"/>
      <c r="J42" s="84"/>
      <c r="K42" s="84"/>
      <c r="L42" s="84"/>
      <c r="M42" s="84"/>
      <c r="N42" s="84"/>
    </row>
    <row r="43" spans="1:14" x14ac:dyDescent="0.3">
      <c r="A43" s="83" t="s">
        <v>92</v>
      </c>
      <c r="B43" s="84"/>
      <c r="C43" s="84"/>
      <c r="D43" s="84"/>
      <c r="E43" s="84"/>
      <c r="F43" s="84"/>
      <c r="G43" s="84"/>
      <c r="H43" s="84"/>
      <c r="I43" s="84"/>
      <c r="J43" s="84"/>
      <c r="K43" s="84"/>
      <c r="L43" s="84"/>
      <c r="M43" s="84"/>
      <c r="N43" s="84"/>
    </row>
    <row r="44" spans="1:14" x14ac:dyDescent="0.3">
      <c r="A44" s="83" t="s">
        <v>398</v>
      </c>
      <c r="B44" s="84"/>
      <c r="C44" s="84"/>
      <c r="D44" s="84"/>
      <c r="E44" s="84"/>
      <c r="F44" s="84"/>
      <c r="G44" s="84"/>
      <c r="H44" s="84"/>
      <c r="I44" s="84"/>
      <c r="J44" s="84"/>
      <c r="K44" s="84"/>
      <c r="L44" s="84"/>
      <c r="M44" s="84"/>
      <c r="N44" s="84"/>
    </row>
    <row r="45" spans="1:14" x14ac:dyDescent="0.3">
      <c r="A45" s="83" t="s">
        <v>399</v>
      </c>
      <c r="B45" s="84"/>
      <c r="C45" s="84"/>
      <c r="D45" s="84"/>
      <c r="E45" s="84"/>
      <c r="F45" s="84"/>
      <c r="G45" s="84"/>
      <c r="H45" s="84"/>
      <c r="I45" s="84"/>
      <c r="J45" s="84"/>
      <c r="K45" s="84"/>
      <c r="L45" s="84"/>
      <c r="M45" s="84"/>
      <c r="N45" s="84"/>
    </row>
    <row r="46" spans="1:14" x14ac:dyDescent="0.3">
      <c r="A46" s="83" t="s">
        <v>93</v>
      </c>
      <c r="B46" s="84"/>
      <c r="C46" s="84"/>
      <c r="D46" s="84"/>
      <c r="E46" s="84"/>
      <c r="F46" s="84"/>
      <c r="G46" s="84"/>
      <c r="H46" s="84"/>
      <c r="I46" s="84"/>
      <c r="J46" s="84"/>
      <c r="K46" s="84"/>
      <c r="L46" s="84"/>
      <c r="M46" s="84"/>
      <c r="N46" s="84"/>
    </row>
  </sheetData>
  <mergeCells count="13">
    <mergeCell ref="A7:B7"/>
    <mergeCell ref="A8:B8"/>
    <mergeCell ref="A9:B9"/>
    <mergeCell ref="A1:N1"/>
    <mergeCell ref="A3:B3"/>
    <mergeCell ref="A4:B4"/>
    <mergeCell ref="A5:B5"/>
    <mergeCell ref="A6:B6"/>
    <mergeCell ref="A44:N44"/>
    <mergeCell ref="A46:N46"/>
    <mergeCell ref="A42:N42"/>
    <mergeCell ref="A45:N45"/>
    <mergeCell ref="A43:N43"/>
  </mergeCells>
  <phoneticPr fontId="9" type="noConversion"/>
  <pageMargins left="0.75" right="0.75" top="1" bottom="1" header="0.5" footer="0.5"/>
  <pageSetup paperSize="8" scale="52" fitToHeight="0" orientation="landscape" r:id="rId1"/>
  <ignoredErrors>
    <ignoredError sqref="I34:I35 M35 M34 M25 E21 I21 M26:M28 M30:M33 I18" formula="1"/>
  </ignoredErrors>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AF36967DFF8EC4CAAFF62A218849162" ma:contentTypeVersion="16" ma:contentTypeDescription="Create a new document." ma:contentTypeScope="" ma:versionID="72fbcf8f51558c46ff1b0f230d2938aa">
  <xsd:schema xmlns:xsd="http://www.w3.org/2001/XMLSchema" xmlns:xs="http://www.w3.org/2001/XMLSchema" xmlns:p="http://schemas.microsoft.com/office/2006/metadata/properties" xmlns:ns2="4e326867-96d6-4cdf-91a1-49e173c7bdfa" xmlns:ns3="ed1c7be0-21e3-4e48-b14b-373cf62f287c" targetNamespace="http://schemas.microsoft.com/office/2006/metadata/properties" ma:root="true" ma:fieldsID="26018b1455e07da3a61fb3c5f986489e" ns2:_="" ns3:_="">
    <xsd:import namespace="4e326867-96d6-4cdf-91a1-49e173c7bdfa"/>
    <xsd:import namespace="ed1c7be0-21e3-4e48-b14b-373cf62f287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326867-96d6-4cdf-91a1-49e173c7b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5abbcff-528f-4cc1-9aee-037cabf8896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1c7be0-21e3-4e48-b14b-373cf62f287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856e77c-6e74-4f07-b4fa-8caf08ce4bd1}" ma:internalName="TaxCatchAll" ma:showField="CatchAllData" ma:web="ed1c7be0-21e3-4e48-b14b-373cf62f28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d1c7be0-21e3-4e48-b14b-373cf62f287c" xsi:nil="true"/>
    <lcf76f155ced4ddcb4097134ff3c332f xmlns="4e326867-96d6-4cdf-91a1-49e173c7bd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C7F953-DCE7-4189-A0E9-F1A3CEDE725F}">
  <ds:schemaRefs>
    <ds:schemaRef ds:uri="http://schemas.microsoft.com/sharepoint/v3/contenttype/forms"/>
  </ds:schemaRefs>
</ds:datastoreItem>
</file>

<file path=customXml/itemProps2.xml><?xml version="1.0" encoding="utf-8"?>
<ds:datastoreItem xmlns:ds="http://schemas.openxmlformats.org/officeDocument/2006/customXml" ds:itemID="{792CDC3C-2976-43CD-82D8-BE3C856362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326867-96d6-4cdf-91a1-49e173c7bdfa"/>
    <ds:schemaRef ds:uri="ed1c7be0-21e3-4e48-b14b-373cf62f28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ECE778-2F41-4C64-BE14-085DDFB43019}">
  <ds:schemaRefs>
    <ds:schemaRef ds:uri="http://schemas.microsoft.com/office/2006/metadata/properties"/>
    <ds:schemaRef ds:uri="http://schemas.microsoft.com/office/infopath/2007/PartnerControls"/>
    <ds:schemaRef ds:uri="ed1c7be0-21e3-4e48-b14b-373cf62f287c"/>
    <ds:schemaRef ds:uri="4e326867-96d6-4cdf-91a1-49e173c7bd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Activity Data v1 Jan 2026</vt:lpstr>
      <vt:lpstr>AdditionalDataRequest</vt:lpstr>
      <vt:lpstr>Conversions</vt:lpstr>
      <vt:lpstr>Emission Factors</vt:lpstr>
      <vt:lpstr>GHG Calculations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Guy Bowden</cp:lastModifiedBy>
  <cp:lastPrinted>2026-06-03T04:47:13Z</cp:lastPrinted>
  <dcterms:created xsi:type="dcterms:W3CDTF">2026-05-15T08:16:11Z</dcterms:created>
  <dcterms:modified xsi:type="dcterms:W3CDTF">2026-06-04T05:04:41Z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0x010100BAF36967DFF8EC4CAAFF62A218849162</vt:lpwstr>
  </property>
  <property fmtid="{D5CDD505-2E9C-101B-9397-08002B2CF9AE}" pid="3" name="MediaServiceImageTags">
    <vt:lpwstr/>
  </property>
</Properties>
</file>